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673" firstSheet="2" activeTab="3"/>
  </bookViews>
  <sheets>
    <sheet name="Calculator" sheetId="1" r:id="rId1"/>
    <sheet name="Pass&amp;CardChoice" sheetId="2" r:id="rId2"/>
    <sheet name="Rental type" sheetId="3" r:id="rId3"/>
    <sheet name="Season Pass Discounts" sheetId="4" r:id="rId4"/>
    <sheet name="QuickCompare" sheetId="5" r:id="rId5"/>
    <sheet name="ticket prices" sheetId="6" r:id="rId6"/>
    <sheet name="Free tickets" sheetId="7" r:id="rId7"/>
    <sheet name="To Do List" sheetId="8" r:id="rId8"/>
  </sheets>
  <definedNames/>
  <calcPr fullCalcOnLoad="1"/>
</workbook>
</file>

<file path=xl/comments1.xml><?xml version="1.0" encoding="utf-8"?>
<comments xmlns="http://schemas.openxmlformats.org/spreadsheetml/2006/main">
  <authors>
    <author>russ.carr</author>
  </authors>
  <commentList>
    <comment ref="G12" authorId="0">
      <text>
        <r>
          <rPr>
            <b/>
            <sz val="8"/>
            <rFont val="Tahoma"/>
            <family val="2"/>
          </rPr>
          <t>Advantage card holders earn one free ticket for every 5 paid visits</t>
        </r>
      </text>
    </comment>
  </commentList>
</comments>
</file>

<file path=xl/comments2.xml><?xml version="1.0" encoding="utf-8"?>
<comments xmlns="http://schemas.openxmlformats.org/spreadsheetml/2006/main">
  <authors>
    <author>russ.carr</author>
  </authors>
  <commentList>
    <comment ref="G9" authorId="0">
      <text>
        <r>
          <rPr>
            <sz val="8"/>
            <rFont val="Tahoma"/>
            <family val="0"/>
          </rPr>
          <t>Season Pass protection refunds your money in case of injury or job move</t>
        </r>
      </text>
    </comment>
    <comment ref="J9" authorId="0">
      <text>
        <r>
          <rPr>
            <sz val="8"/>
            <rFont val="Tahoma"/>
            <family val="0"/>
          </rPr>
          <t>The Liberty plus option allows you to store your skis at the mountain, daily bag storage for free and unlimited quick tunes</t>
        </r>
      </text>
    </comment>
    <comment ref="D16" authorId="0">
      <text>
        <r>
          <rPr>
            <b/>
            <sz val="8"/>
            <rFont val="Tahoma"/>
            <family val="2"/>
          </rPr>
          <t>It does not matter whether the second person is an adult or a child. This is the pass for the second person on a family pass.</t>
        </r>
      </text>
    </comment>
    <comment ref="D15" authorId="0">
      <text>
        <r>
          <rPr>
            <b/>
            <sz val="8"/>
            <rFont val="Tahoma"/>
            <family val="0"/>
          </rPr>
          <t>This pass is only good at Whitetail!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This pass is only good at Roundtop!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Companion cards are transferrable. Anyone visiting with a family card holder can get 40% off. Companion cards are only available with a family advantage card. Companion cards do not earn free visits.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All age midweek passes are only good at Whitetail. 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Senior midweek pass for age 65 and over, good at all 3 resorts</t>
        </r>
      </text>
    </comment>
  </commentList>
</comments>
</file>

<file path=xl/comments4.xml><?xml version="1.0" encoding="utf-8"?>
<comments xmlns="http://schemas.openxmlformats.org/spreadsheetml/2006/main">
  <authors>
    <author>russ.carr</author>
  </authors>
  <commentList>
    <comment ref="E1" authorId="0">
      <text>
        <r>
          <rPr>
            <b/>
            <sz val="8"/>
            <rFont val="Tahoma"/>
            <family val="0"/>
          </rPr>
          <t>russ.carr:</t>
        </r>
        <r>
          <rPr>
            <sz val="8"/>
            <rFont val="Tahoma"/>
            <family val="0"/>
          </rPr>
          <t xml:space="preserve">
Age for seniors varies by resort</t>
        </r>
      </text>
    </comment>
    <comment ref="H1" authorId="0">
      <text>
        <r>
          <rPr>
            <b/>
            <sz val="8"/>
            <rFont val="Tahoma"/>
            <family val="0"/>
          </rPr>
          <t>russ.carr:</t>
        </r>
        <r>
          <rPr>
            <sz val="8"/>
            <rFont val="Tahoma"/>
            <family val="0"/>
          </rPr>
          <t xml:space="preserve">
Some resorts may have two tiers of junior ticket pricing. The higher prices is used here.
</t>
        </r>
      </text>
    </comment>
    <comment ref="A32" authorId="0">
      <text>
        <r>
          <rPr>
            <b/>
            <sz val="8"/>
            <rFont val="Tahoma"/>
            <family val="0"/>
          </rPr>
          <t>russ.carr:</t>
        </r>
        <r>
          <rPr>
            <sz val="8"/>
            <rFont val="Tahoma"/>
            <family val="0"/>
          </rPr>
          <t xml:space="preserve">
This is transferrable!</t>
        </r>
      </text>
    </comment>
    <comment ref="A4" authorId="0">
      <text>
        <r>
          <rPr>
            <b/>
            <sz val="8"/>
            <rFont val="Tahoma"/>
            <family val="0"/>
          </rPr>
          <t>resorts are hyperlinked to their lift ticket price web pages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<sst xmlns="http://schemas.openxmlformats.org/spreadsheetml/2006/main" count="478" uniqueCount="195">
  <si>
    <t>Savings</t>
  </si>
  <si>
    <t>Adult</t>
  </si>
  <si>
    <t># of visits</t>
  </si>
  <si>
    <t>8 Hour Flex - Weekend</t>
  </si>
  <si>
    <t>4 hour flex - Weekend</t>
  </si>
  <si>
    <t>8 hour flex - weekday</t>
  </si>
  <si>
    <t>Advantage Card Price</t>
  </si>
  <si>
    <t xml:space="preserve">night </t>
  </si>
  <si>
    <t>4 hour flex - weekday</t>
  </si>
  <si>
    <t># of Free Tickets*</t>
  </si>
  <si>
    <t>Whitetail</t>
  </si>
  <si>
    <t>Liberty Mountain Resort</t>
  </si>
  <si>
    <t>Extended Weekend Day</t>
  </si>
  <si>
    <t>Extended WeekDay</t>
  </si>
  <si>
    <t>Roundtop</t>
  </si>
  <si>
    <t># of lessons</t>
  </si>
  <si>
    <t>Your up front cost is</t>
  </si>
  <si>
    <t>lessons</t>
  </si>
  <si>
    <t>Your net savings are</t>
  </si>
  <si>
    <t>You save</t>
  </si>
  <si>
    <t>Step 1: Choose your Deal</t>
  </si>
  <si>
    <t>Step 4: Buy your Advantage Card or Season Pass today!</t>
  </si>
  <si>
    <t>Whitetail Savings</t>
  </si>
  <si>
    <t>Liberty Savings</t>
  </si>
  <si>
    <t>Round Top Savings</t>
  </si>
  <si>
    <t>Advantage card rental price</t>
  </si>
  <si>
    <t>Lift Ticket Price</t>
  </si>
  <si>
    <t>Adult#1</t>
  </si>
  <si>
    <t>Adult#2</t>
  </si>
  <si>
    <t>Junior#1</t>
  </si>
  <si>
    <t>Junior#2</t>
  </si>
  <si>
    <t>Junior#3</t>
  </si>
  <si>
    <t>Lift and Rental Savings</t>
  </si>
  <si>
    <t>add hotel discounts?</t>
  </si>
  <si>
    <t>Beef up the instructions</t>
  </si>
  <si>
    <t>Ask for how many in the family and generate the right number of rows</t>
  </si>
  <si>
    <t>Ask for what types of tickets and generate the right number of rows</t>
  </si>
  <si>
    <t>pretty it up with graphics and colors; check print out</t>
  </si>
  <si>
    <t>add total costs comparison.(use sumproducts function- convert advantage price to "card" price with if logic to show price =0 for seasons pass)</t>
  </si>
  <si>
    <t>add a list of things not covered - seasons pass discounts on rentals, rec racing (Nastar?)</t>
  </si>
  <si>
    <t>Earned</t>
  </si>
  <si>
    <t>Used</t>
  </si>
  <si>
    <t>Remaining</t>
  </si>
  <si>
    <t>Adult#3</t>
  </si>
  <si>
    <t>Adult#4</t>
  </si>
  <si>
    <t>convert to web page format? (easier said then done - need a control add in?); plain excel save as web page needs different look ups and everything all on one sheet</t>
  </si>
  <si>
    <t>add a text page for help on what the spreadsheet is all about - comparing how much money can be saved by using advantage or seasons pass - determining how many times you need to go to break even</t>
  </si>
  <si>
    <t>make it easier to compare season pass versus vs  advantage card - just enter number of trips and type?</t>
  </si>
  <si>
    <t>Rental Price</t>
  </si>
  <si>
    <t>Rental Savings</t>
  </si>
  <si>
    <t>Add in night club card calculation??</t>
  </si>
  <si>
    <t># of paid visits</t>
  </si>
  <si>
    <t>move lift prices and rental prices to a separate sheet that matches the brochure price list</t>
  </si>
  <si>
    <t>Senior</t>
  </si>
  <si>
    <t>Extended Day-Weekend</t>
  </si>
  <si>
    <t>Your Price</t>
  </si>
  <si>
    <t>Regular Price</t>
  </si>
  <si>
    <t>Recommendation</t>
  </si>
  <si>
    <t>Buy Regular price tickets</t>
  </si>
  <si>
    <t>Buy an Advantage Card</t>
  </si>
  <si>
    <t>Buy an Advantage Card to save money or a Season Pass to not have to buy tickets</t>
  </si>
  <si>
    <t>Buy a Season Pass</t>
  </si>
  <si>
    <t>Family of 3</t>
  </si>
  <si>
    <t>Single Person or Couple</t>
  </si>
  <si>
    <t>Buy Season Passes for the family</t>
  </si>
  <si>
    <t>Total free tickets</t>
  </si>
  <si>
    <t>Error Check</t>
  </si>
  <si>
    <t>Choose no rental unless you are getting an Advantage card</t>
  </si>
  <si>
    <t>Seniors</t>
  </si>
  <si>
    <t>When to choose the rental option</t>
  </si>
  <si>
    <t>Savings per Ticket</t>
  </si>
  <si>
    <t>19+</t>
  </si>
  <si>
    <t>11-18</t>
  </si>
  <si>
    <t>Total # of rentals</t>
  </si>
  <si>
    <t>upgrade forms buttons to activex buttons</t>
  </si>
  <si>
    <t>make discount default preseason based on calendar date</t>
  </si>
  <si>
    <t>convert errors to message boxes</t>
  </si>
  <si>
    <t>Total number of people renting</t>
  </si>
  <si>
    <t>Step 3: Choose when and where you will use your free tickets</t>
  </si>
  <si>
    <t>Advantage Card Savings Calculator - This spreadsheet calculates possible savings using an Advantage Card or Season Pass</t>
  </si>
  <si>
    <t>(page down)</t>
  </si>
  <si>
    <t>Calculator enhancement wish list - This worksheet is just for Rusty</t>
  </si>
  <si>
    <t>total</t>
  </si>
  <si>
    <t>This worksheet is used by the calculator. Please don't change anything on here!</t>
  </si>
  <si>
    <t>put comments in macros; use consistent naming structure; combine modules</t>
  </si>
  <si>
    <t>auto compare button enhance - for season pass to advantage card - single; message box for type of pass; family compare</t>
  </si>
  <si>
    <t>really esoteric stuff below here</t>
  </si>
  <si>
    <t>Add buttons and current values for each step in step 1-4; step4 button goes to online purchase???</t>
  </si>
  <si>
    <t>add season pass other discounts to the sheet( trips to windham for season pass holders, hotel discounts, locker discounts)</t>
  </si>
  <si>
    <t>fix family pass pricing - second pass is $380 whether adult or child - only way to do this right now is 2nd adult); add fourth adult line?</t>
  </si>
  <si>
    <t>Total Paid Visits</t>
  </si>
  <si>
    <t>add disclaimer page</t>
  </si>
  <si>
    <t>*Companion cards do not earn free visits</t>
  </si>
  <si>
    <t>This spreadsheet has macros that are used to make the buttons work. You must enable macros in order for the buttons to work</t>
  </si>
  <si>
    <t>auto hide columns based on pass and card choices; change reset buttons to unhide</t>
  </si>
  <si>
    <t xml:space="preserve">*Season and Family passes are good at all 3 resorts. Regular Midweek passes are only good at Whitetail. </t>
  </si>
  <si>
    <t>*Senior midweek pass for age 65 and over, good at all 3 resorts</t>
  </si>
  <si>
    <t>&lt;-Total</t>
  </si>
  <si>
    <t>*Night passes are only good for one resort</t>
  </si>
  <si>
    <t>Liberty Plus option</t>
  </si>
  <si>
    <t>*Liberty plus option allows you to store your skis at the mountain, daily bag storage for free and unlimited quick tunes</t>
  </si>
  <si>
    <t>add windham visits for season pass holders?/windham discounts for advantage card holders</t>
  </si>
  <si>
    <t>Number of weekend days on snow</t>
  </si>
  <si>
    <t>Number of weekdays on snow</t>
  </si>
  <si>
    <t>Buy a midweek Season Pass</t>
  </si>
  <si>
    <t>sanity checks - ; more people than cards ; when one pass is selected don't allow different types of people (adult1 v adult2 v senior) to choose tickets</t>
  </si>
  <si>
    <t>night</t>
  </si>
  <si>
    <t>4 hour</t>
  </si>
  <si>
    <t>8 hour</t>
  </si>
  <si>
    <t>extended</t>
  </si>
  <si>
    <t>jr night</t>
  </si>
  <si>
    <t>jr 4 hr</t>
  </si>
  <si>
    <t>jr 8 hour</t>
  </si>
  <si>
    <t>jr extended</t>
  </si>
  <si>
    <t>helmet rental</t>
  </si>
  <si>
    <t>ski rental</t>
  </si>
  <si>
    <t>snowboard rental</t>
  </si>
  <si>
    <t>midweek</t>
  </si>
  <si>
    <t>weekend</t>
  </si>
  <si>
    <t>Liberty</t>
  </si>
  <si>
    <t>twin tips</t>
  </si>
  <si>
    <t>Mountains of Distinction discounts</t>
  </si>
  <si>
    <t>First Class Package</t>
  </si>
  <si>
    <t>Whitetail locker discount</t>
  </si>
  <si>
    <t>Four free Windham tickets</t>
  </si>
  <si>
    <t>Liberty Hotel discounts</t>
  </si>
  <si>
    <t>Windham Arms Hotel discounts</t>
  </si>
  <si>
    <t>Deal</t>
  </si>
  <si>
    <t>Discounted Price</t>
  </si>
  <si>
    <t>Number of Times</t>
  </si>
  <si>
    <t>-season long ski storage</t>
  </si>
  <si>
    <t>-daily bag storage</t>
  </si>
  <si>
    <t>-Liberty quick tunes</t>
  </si>
  <si>
    <t>-VIP parking</t>
  </si>
  <si>
    <t>--</t>
  </si>
  <si>
    <t>-Crested Butte 3 day ticket</t>
  </si>
  <si>
    <t>-Wintergreen weekend</t>
  </si>
  <si>
    <t>-Wintergreen midweek</t>
  </si>
  <si>
    <t>-Crystal weekend</t>
  </si>
  <si>
    <t>-Crystal midweek</t>
  </si>
  <si>
    <t>-Bristol weekend</t>
  </si>
  <si>
    <t>-Bristol midweek</t>
  </si>
  <si>
    <t>-Wachusett weekend</t>
  </si>
  <si>
    <t>-Wachusett midweek</t>
  </si>
  <si>
    <t>50% off midweek, $10 off weekend</t>
  </si>
  <si>
    <t>-Holiday Valley weekend</t>
  </si>
  <si>
    <t>-Holiday Valley midweek</t>
  </si>
  <si>
    <t>-Jay Peak weekend</t>
  </si>
  <si>
    <t>-Jay Peak midweek</t>
  </si>
  <si>
    <t>-Jiminy Peak weekend</t>
  </si>
  <si>
    <t>-Jiminy Peak midweek</t>
  </si>
  <si>
    <t>-Mont Saint Sauvieur weekend</t>
  </si>
  <si>
    <t>-Mont Saint Sauvieur midweek</t>
  </si>
  <si>
    <t>-Okemo weekend</t>
  </si>
  <si>
    <t>-Okemo midweek</t>
  </si>
  <si>
    <t>-Mount Sunapee weekend</t>
  </si>
  <si>
    <t>-Mount Sunapee midweek</t>
  </si>
  <si>
    <t>-Shawnee Peak weekend</t>
  </si>
  <si>
    <t>-Shawnee Peak midweek</t>
  </si>
  <si>
    <t>Junior</t>
  </si>
  <si>
    <t>Free Windham tickets when PA resorts are closed</t>
  </si>
  <si>
    <t>double check all comments to remove name</t>
  </si>
  <si>
    <t>season pass discounts - find out WT seasonal locker discount for season pass</t>
  </si>
  <si>
    <t>Companion Adult</t>
  </si>
  <si>
    <t>Companion Junior</t>
  </si>
  <si>
    <t>add companion card instructions</t>
  </si>
  <si>
    <t>do calc reset for other resorts</t>
  </si>
  <si>
    <t>Advantage Card Selected?</t>
  </si>
  <si>
    <t>Season Pass Selected?</t>
  </si>
  <si>
    <t>plain season pass only works on first row/adult or child? Need edit check for second pass being used for both adult and child. Sanity check for senior and adult 1. Add 4th kid to calculator</t>
  </si>
  <si>
    <t>set global static number for row 22 on passncard - public const "X"row=22</t>
  </si>
  <si>
    <t>add 2 day tickets??</t>
  </si>
  <si>
    <t>One quick tune</t>
  </si>
  <si>
    <t>Liberty - First Tracks (ski 30 min b4 opening Tues-Sun)</t>
  </si>
  <si>
    <t>Age 4-5</t>
  </si>
  <si>
    <t>2005-2006 season</t>
  </si>
  <si>
    <t>50% off class lessons (not privates or camps)</t>
  </si>
  <si>
    <t>0-4</t>
  </si>
  <si>
    <t>5-10</t>
  </si>
  <si>
    <t>0-2</t>
  </si>
  <si>
    <t>Note: Based on early season pricing. Assumes that minimal savings is not worth the risk of up front spending</t>
  </si>
  <si>
    <t>3-8</t>
  </si>
  <si>
    <t xml:space="preserve">When to choose companion card </t>
  </si>
  <si>
    <t>13+</t>
  </si>
  <si>
    <t>9-12</t>
  </si>
  <si>
    <t>The rental option pays for itself after 3 weekend visits</t>
  </si>
  <si>
    <t>The companion card saves you money after 3 weekend visits</t>
  </si>
  <si>
    <t>same as a single above</t>
  </si>
  <si>
    <t>same as single above</t>
  </si>
  <si>
    <t>0-7</t>
  </si>
  <si>
    <t>8+</t>
  </si>
  <si>
    <t>Senior(&gt;65)</t>
  </si>
  <si>
    <t>questions - advantage discounts on multi day tickets count as multiple trips? yes, but reask. Quick tunes for season pass at all resorts now? yes Mountains of distinction??? yes; plus option still include vip parking? no; prices for twin tip rentals; what is the senior development program at roundtop?</t>
  </si>
  <si>
    <t>Step 2: Enter your number of visits in the first shaded column below</t>
  </si>
  <si>
    <t>Version 1.0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</si>
</sst>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5">
    <font>
      <sz val="10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2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4" fontId="0" fillId="0" borderId="0" xfId="0" applyNumberFormat="1" applyAlignment="1">
      <alignment wrapText="1"/>
    </xf>
    <xf numFmtId="164" fontId="1" fillId="4" borderId="0" xfId="0" applyNumberFormat="1" applyFont="1" applyFill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0" fontId="5" fillId="0" borderId="0" xfId="0" applyFont="1" applyAlignment="1">
      <alignment wrapText="1"/>
    </xf>
    <xf numFmtId="0" fontId="0" fillId="5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65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7" fillId="2" borderId="0" xfId="0" applyFont="1" applyFill="1" applyAlignment="1">
      <alignment/>
    </xf>
    <xf numFmtId="0" fontId="8" fillId="8" borderId="2" xfId="0" applyFont="1" applyFill="1" applyBorder="1" applyAlignment="1">
      <alignment wrapText="1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9" borderId="0" xfId="0" applyFont="1" applyFill="1" applyAlignment="1">
      <alignment/>
    </xf>
    <xf numFmtId="0" fontId="0" fillId="9" borderId="0" xfId="0" applyFill="1" applyAlignment="1">
      <alignment/>
    </xf>
    <xf numFmtId="1" fontId="0" fillId="9" borderId="0" xfId="0" applyNumberFormat="1" applyFill="1" applyAlignment="1">
      <alignment/>
    </xf>
    <xf numFmtId="7" fontId="0" fillId="0" borderId="0" xfId="0" applyNumberFormat="1" applyAlignment="1">
      <alignment wrapText="1"/>
    </xf>
    <xf numFmtId="0" fontId="0" fillId="9" borderId="0" xfId="0" applyFont="1" applyFill="1" applyAlignment="1">
      <alignment wrapText="1"/>
    </xf>
    <xf numFmtId="164" fontId="7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11" fillId="10" borderId="0" xfId="0" applyFont="1" applyFill="1" applyAlignment="1">
      <alignment wrapText="1"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11" fillId="10" borderId="0" xfId="0" applyNumberFormat="1" applyFont="1" applyFill="1" applyAlignment="1">
      <alignment wrapText="1"/>
    </xf>
    <xf numFmtId="0" fontId="0" fillId="0" borderId="0" xfId="0" applyNumberFormat="1" applyAlignment="1" quotePrefix="1">
      <alignment/>
    </xf>
    <xf numFmtId="0" fontId="12" fillId="0" borderId="0" xfId="2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2" borderId="0" xfId="0" applyFont="1" applyFill="1" applyAlignment="1">
      <alignment horizontal="centerContinuous" wrapText="1"/>
    </xf>
    <xf numFmtId="0" fontId="7" fillId="2" borderId="0" xfId="0" applyFont="1" applyFill="1" applyAlignment="1">
      <alignment horizontal="centerContinuous"/>
    </xf>
    <xf numFmtId="164" fontId="7" fillId="2" borderId="0" xfId="0" applyNumberFormat="1" applyFont="1" applyFill="1" applyAlignment="1">
      <alignment horizontal="centerContinuous"/>
    </xf>
    <xf numFmtId="0" fontId="7" fillId="2" borderId="0" xfId="0" applyFont="1" applyFill="1" applyAlignment="1">
      <alignment horizontal="centerContinuous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ssi.ca/page.asp?intNodeID=11717" TargetMode="External" /><Relationship Id="rId2" Type="http://schemas.openxmlformats.org/officeDocument/2006/relationships/hyperlink" Target="http://www.bristolmt.com/tickets.htm" TargetMode="External" /><Relationship Id="rId3" Type="http://schemas.openxmlformats.org/officeDocument/2006/relationships/hyperlink" Target="http://www.holidayvalley.com/winter.cfm?subpage=323" TargetMode="External" /><Relationship Id="rId4" Type="http://schemas.openxmlformats.org/officeDocument/2006/relationships/hyperlink" Target="http://www.crestedbutteresort.com/page.php?pname=mountain/tickets" TargetMode="External" /><Relationship Id="rId5" Type="http://schemas.openxmlformats.org/officeDocument/2006/relationships/hyperlink" Target="http://www.crystalmountain.com/winter/index.cfm?fuseaction=ticketslift" TargetMode="External" /><Relationship Id="rId6" Type="http://schemas.openxmlformats.org/officeDocument/2006/relationships/hyperlink" Target="http://www.jaypeakresort.com/page.asp?intNodeID=16182" TargetMode="External" /><Relationship Id="rId7" Type="http://schemas.openxmlformats.org/officeDocument/2006/relationships/hyperlink" Target="http://www.jiminypeak.com/win/tickets/t_tickets.html" TargetMode="External" /><Relationship Id="rId8" Type="http://schemas.openxmlformats.org/officeDocument/2006/relationships/hyperlink" Target="http://www.mtsunapee.com/rates/tickets.html" TargetMode="External" /><Relationship Id="rId9" Type="http://schemas.openxmlformats.org/officeDocument/2006/relationships/hyperlink" Target="http://www.okemo.com/rates/day.html" TargetMode="External" /><Relationship Id="rId10" Type="http://schemas.openxmlformats.org/officeDocument/2006/relationships/hyperlink" Target="http://www.shawneemt.com/rates/lifttix.html" TargetMode="External" /><Relationship Id="rId11" Type="http://schemas.openxmlformats.org/officeDocument/2006/relationships/hyperlink" Target="http://www.wintergreenresort.com/ski_and_ride/lift_ticket_prices_and_hours.cfm" TargetMode="External" /><Relationship Id="rId12" Type="http://schemas.openxmlformats.org/officeDocument/2006/relationships/hyperlink" Target="http://www.wintergreenresort.com/ski_and_ride/lift_ticket_prices_and_hours.cfm" TargetMode="External" /><Relationship Id="rId13" Type="http://schemas.openxmlformats.org/officeDocument/2006/relationships/comments" Target="../comments4.xml" /><Relationship Id="rId14" Type="http://schemas.openxmlformats.org/officeDocument/2006/relationships/vmlDrawing" Target="../drawings/vmlDrawing4.vm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1"/>
  <sheetViews>
    <sheetView workbookViewId="0" topLeftCell="A1">
      <selection activeCell="A3" sqref="A3"/>
    </sheetView>
  </sheetViews>
  <sheetFormatPr defaultColWidth="9.140625" defaultRowHeight="12.75"/>
  <cols>
    <col min="1" max="1" width="20.57421875" style="0" customWidth="1"/>
    <col min="2" max="2" width="15.8515625" style="0" customWidth="1"/>
    <col min="3" max="3" width="5.421875" style="0" customWidth="1"/>
    <col min="5" max="5" width="10.140625" style="0" customWidth="1"/>
    <col min="6" max="6" width="9.140625" style="12" customWidth="1"/>
    <col min="7" max="8" width="9.140625" style="1" customWidth="1"/>
    <col min="9" max="9" width="10.28125" style="1" customWidth="1"/>
    <col min="10" max="10" width="14.28125" style="1" customWidth="1"/>
    <col min="11" max="11" width="12.7109375" style="0" customWidth="1"/>
  </cols>
  <sheetData>
    <row r="1" spans="1:10" s="32" customFormat="1" ht="37.5" customHeight="1">
      <c r="A1" s="54" t="s">
        <v>79</v>
      </c>
      <c r="B1" s="55"/>
      <c r="C1" s="55"/>
      <c r="D1" s="55"/>
      <c r="E1" s="55"/>
      <c r="F1" s="56"/>
      <c r="G1" s="57"/>
      <c r="H1" s="57"/>
      <c r="I1" s="57"/>
      <c r="J1" s="57"/>
    </row>
    <row r="2" spans="1:13" ht="20.25" customHeight="1" thickBot="1">
      <c r="A2" t="s">
        <v>93</v>
      </c>
      <c r="K2" s="11" t="s">
        <v>175</v>
      </c>
      <c r="L2" s="3"/>
      <c r="M2" t="s">
        <v>194</v>
      </c>
    </row>
    <row r="3" spans="1:11" ht="62.25" customHeight="1" thickBot="1" thickTop="1">
      <c r="A3" s="33" t="s">
        <v>20</v>
      </c>
      <c r="K3" s="1"/>
    </row>
    <row r="4" spans="1:7" ht="97.5" customHeight="1" thickBot="1" thickTop="1">
      <c r="A4" s="33" t="s">
        <v>193</v>
      </c>
      <c r="B4" t="s">
        <v>80</v>
      </c>
      <c r="C4" s="12"/>
      <c r="G4" s="21"/>
    </row>
    <row r="5" spans="1:6" ht="72" customHeight="1" thickBot="1" thickTop="1">
      <c r="A5" s="33" t="s">
        <v>78</v>
      </c>
      <c r="B5" s="20" t="str">
        <f>IF(AND('Pass&amp;CardChoice'!B35,'Free tickets'!C11&gt;0),"Enter free visits in column G","No free tickets earned yet.")</f>
        <v>No free tickets earned yet.</v>
      </c>
      <c r="C5" s="34">
        <f>IF(AND(B37,(OR('Free tickets'!E3&lt;0,'Free tickets'!E4&lt;0,'Free tickets'!E5&lt;0,'Free tickets'!E6&lt;0,'Free tickets'!E7&lt;0,'Free tickets'!E8&lt;0,'Free tickets'!E9&lt;0,'Free tickets'!E10&lt;0))),"Error - Too many free tickets used","")</f>
      </c>
      <c r="F5" s="41" t="b">
        <v>0</v>
      </c>
    </row>
    <row r="6" spans="1:3" ht="66.75" customHeight="1" thickBot="1" thickTop="1">
      <c r="A6" s="33" t="s">
        <v>21</v>
      </c>
      <c r="C6" s="12"/>
    </row>
    <row r="7" spans="1:2" ht="13.5" thickTop="1">
      <c r="A7" t="s">
        <v>16</v>
      </c>
      <c r="B7" s="12">
        <f>'Pass&amp;CardChoice'!A24</f>
        <v>0</v>
      </c>
    </row>
    <row r="8" spans="1:8" ht="12.75">
      <c r="A8" t="s">
        <v>19</v>
      </c>
      <c r="B8" s="12">
        <f>(K91+K174+K259)</f>
        <v>0</v>
      </c>
      <c r="H8" s="39"/>
    </row>
    <row r="9" spans="1:8" ht="12.75">
      <c r="A9" t="s">
        <v>18</v>
      </c>
      <c r="B9" s="12">
        <f>(K91+K174+K259)-B7</f>
        <v>0</v>
      </c>
      <c r="C9" s="12">
        <f>IF(AND(B9&gt;0,OR('Pass&amp;CardChoice'!B35,'Pass&amp;CardChoice'!B36)),"Now you're saving money","")</f>
      </c>
      <c r="H9" s="39"/>
    </row>
    <row r="10" ht="12.75">
      <c r="C10" s="35">
        <f>IF(AND(B9&gt;0,NOT('Pass&amp;CardChoice'!B35),NOT('Pass&amp;CardChoice'!B36)),"Whoa - you need to choose a card or pass before you can save money","")</f>
      </c>
    </row>
    <row r="11" spans="1:10" s="3" customFormat="1" ht="12.75">
      <c r="A11" s="11" t="s">
        <v>10</v>
      </c>
      <c r="F11" s="42"/>
      <c r="G11" s="4"/>
      <c r="H11" s="4"/>
      <c r="I11" s="4"/>
      <c r="J11" s="4"/>
    </row>
    <row r="12" spans="3:11" ht="37.5" customHeight="1">
      <c r="C12" s="1" t="s">
        <v>51</v>
      </c>
      <c r="D12" s="1" t="s">
        <v>26</v>
      </c>
      <c r="E12" s="1" t="s">
        <v>6</v>
      </c>
      <c r="F12" s="14" t="s">
        <v>70</v>
      </c>
      <c r="G12" s="1" t="s">
        <v>9</v>
      </c>
      <c r="H12" s="1" t="s">
        <v>48</v>
      </c>
      <c r="I12" s="1" t="s">
        <v>25</v>
      </c>
      <c r="J12" s="1" t="s">
        <v>49</v>
      </c>
      <c r="K12" s="1" t="s">
        <v>32</v>
      </c>
    </row>
    <row r="13" ht="12.75">
      <c r="A13" t="s">
        <v>54</v>
      </c>
    </row>
    <row r="14" spans="2:11" ht="12.75">
      <c r="B14" t="s">
        <v>27</v>
      </c>
      <c r="C14" s="2"/>
      <c r="D14" s="12">
        <f>'ticket prices'!C7</f>
        <v>56</v>
      </c>
      <c r="E14" s="12">
        <f>0.6*D14</f>
        <v>33.6</v>
      </c>
      <c r="F14" s="12">
        <f>IF('Pass&amp;CardChoice'!$B$35,D14-E14,IF('Pass&amp;CardChoice'!$B$36,IF(NOT(OR('Pass&amp;CardChoice'!$B$12,'Pass&amp;CardChoice'!$B$13,'Pass&amp;CardChoice'!$B$14,'Pass&amp;CardChoice'!$B$15)),D14,0),0))</f>
        <v>0</v>
      </c>
      <c r="G14" s="19"/>
      <c r="H14" s="1">
        <f>CHOOSE('Rental type'!A5,'ticket prices'!B18,'ticket prices'!B25,0)</f>
        <v>0</v>
      </c>
      <c r="I14" s="1">
        <f aca="true" t="shared" si="0" ref="I14:I19">0.6*H14</f>
        <v>0</v>
      </c>
      <c r="J14" s="1">
        <f>(H14-I14)</f>
        <v>0</v>
      </c>
      <c r="K14" s="12">
        <f>(C14*F14)+(G14*D14)+(C14*J14)+(G14*H14)</f>
        <v>0</v>
      </c>
    </row>
    <row r="15" spans="2:11" ht="12.75">
      <c r="B15" t="s">
        <v>28</v>
      </c>
      <c r="C15" s="2"/>
      <c r="D15" s="12">
        <f>D14</f>
        <v>56</v>
      </c>
      <c r="E15" s="12">
        <f>0.6*D15</f>
        <v>33.6</v>
      </c>
      <c r="F15" s="12">
        <f>IF('Pass&amp;CardChoice'!$B$35,D15-E15,IF('Pass&amp;CardChoice'!$B$16,D15,0))</f>
        <v>0</v>
      </c>
      <c r="G15" s="19"/>
      <c r="H15" s="1">
        <f>H14</f>
        <v>0</v>
      </c>
      <c r="I15" s="1">
        <f t="shared" si="0"/>
        <v>0</v>
      </c>
      <c r="J15" s="1">
        <f aca="true" t="shared" si="1" ref="J15:J20">H15-I15</f>
        <v>0</v>
      </c>
      <c r="K15" s="12">
        <f aca="true" t="shared" si="2" ref="K15:K21">(C15*F15)+(G15*D15)+(C15*J15)+(G15*H15)</f>
        <v>0</v>
      </c>
    </row>
    <row r="16" spans="2:11" ht="12.75">
      <c r="B16" t="s">
        <v>43</v>
      </c>
      <c r="C16" s="2"/>
      <c r="D16" s="12">
        <f>D15</f>
        <v>56</v>
      </c>
      <c r="E16" s="12">
        <f>0.6*D16</f>
        <v>33.6</v>
      </c>
      <c r="F16" s="12">
        <f>IF('Pass&amp;CardChoice'!$B$35,D16-E16,IF('Pass&amp;CardChoice'!$B$17,D16,0))</f>
        <v>0</v>
      </c>
      <c r="G16" s="19"/>
      <c r="H16" s="1">
        <f aca="true" t="shared" si="3" ref="H16:H21">H15</f>
        <v>0</v>
      </c>
      <c r="I16" s="1">
        <f t="shared" si="0"/>
        <v>0</v>
      </c>
      <c r="J16" s="1">
        <f>H16-I16</f>
        <v>0</v>
      </c>
      <c r="K16" s="12">
        <f t="shared" si="2"/>
        <v>0</v>
      </c>
    </row>
    <row r="17" spans="2:11" ht="12.75">
      <c r="B17" t="s">
        <v>44</v>
      </c>
      <c r="C17" s="2"/>
      <c r="D17" s="12">
        <f>D16</f>
        <v>56</v>
      </c>
      <c r="E17" s="12">
        <f>0.6*D17</f>
        <v>33.6</v>
      </c>
      <c r="F17" s="12">
        <f>IF('Pass&amp;CardChoice'!$B$35,D17-E17,IF('Pass&amp;CardChoice'!$B$18,D17,0))</f>
        <v>0</v>
      </c>
      <c r="G17" s="19"/>
      <c r="H17" s="1">
        <f t="shared" si="3"/>
        <v>0</v>
      </c>
      <c r="I17" s="1">
        <f t="shared" si="0"/>
        <v>0</v>
      </c>
      <c r="J17" s="1">
        <f>H17-I17</f>
        <v>0</v>
      </c>
      <c r="K17" s="12">
        <f t="shared" si="2"/>
        <v>0</v>
      </c>
    </row>
    <row r="18" spans="2:11" ht="12.75">
      <c r="B18" t="s">
        <v>29</v>
      </c>
      <c r="C18" s="2"/>
      <c r="D18" s="12">
        <f>'ticket prices'!C11</f>
        <v>49</v>
      </c>
      <c r="E18" s="12">
        <f aca="true" t="shared" si="4" ref="E18:E86">0.6*D18</f>
        <v>29.4</v>
      </c>
      <c r="F18" s="12">
        <f>IF('Pass&amp;CardChoice'!$B$35,D18-E18,IF(OR('Pass&amp;CardChoice'!$B$16,'Pass&amp;CardChoice'!$B$19),D18,0))</f>
        <v>0</v>
      </c>
      <c r="G18" s="19"/>
      <c r="H18" s="1">
        <f t="shared" si="3"/>
        <v>0</v>
      </c>
      <c r="I18" s="1">
        <f t="shared" si="0"/>
        <v>0</v>
      </c>
      <c r="J18" s="1">
        <f t="shared" si="1"/>
        <v>0</v>
      </c>
      <c r="K18" s="12">
        <f t="shared" si="2"/>
        <v>0</v>
      </c>
    </row>
    <row r="19" spans="2:11" ht="12.75">
      <c r="B19" t="s">
        <v>30</v>
      </c>
      <c r="C19" s="2"/>
      <c r="D19" s="12">
        <f>D18</f>
        <v>49</v>
      </c>
      <c r="E19" s="12">
        <f t="shared" si="4"/>
        <v>29.4</v>
      </c>
      <c r="F19" s="12">
        <f>IF('Pass&amp;CardChoice'!$B$35,D19-E19,IF('Pass&amp;CardChoice'!$B$20,D19,0))</f>
        <v>0</v>
      </c>
      <c r="G19" s="19"/>
      <c r="H19" s="1">
        <f t="shared" si="3"/>
        <v>0</v>
      </c>
      <c r="I19" s="1">
        <f t="shared" si="0"/>
        <v>0</v>
      </c>
      <c r="J19" s="1">
        <f t="shared" si="1"/>
        <v>0</v>
      </c>
      <c r="K19" s="12">
        <f t="shared" si="2"/>
        <v>0</v>
      </c>
    </row>
    <row r="20" spans="2:11" ht="12.75">
      <c r="B20" t="s">
        <v>31</v>
      </c>
      <c r="C20" s="2"/>
      <c r="D20" s="12">
        <f>D19</f>
        <v>49</v>
      </c>
      <c r="E20" s="12">
        <f t="shared" si="4"/>
        <v>29.4</v>
      </c>
      <c r="F20" s="12">
        <f>IF('Pass&amp;CardChoice'!$B$35,D20-E20,IF('Pass&amp;CardChoice'!$B$21,D20,0))</f>
        <v>0</v>
      </c>
      <c r="G20" s="19"/>
      <c r="H20" s="1">
        <f t="shared" si="3"/>
        <v>0</v>
      </c>
      <c r="I20" s="1">
        <f aca="true" t="shared" si="5" ref="I20:I50">0.6*H20</f>
        <v>0</v>
      </c>
      <c r="J20" s="1">
        <f t="shared" si="1"/>
        <v>0</v>
      </c>
      <c r="K20" s="12">
        <f t="shared" si="2"/>
        <v>0</v>
      </c>
    </row>
    <row r="21" spans="2:11" ht="12.75">
      <c r="B21" t="s">
        <v>191</v>
      </c>
      <c r="C21" s="2"/>
      <c r="D21" s="12">
        <f>D14</f>
        <v>56</v>
      </c>
      <c r="E21" s="12">
        <f t="shared" si="4"/>
        <v>33.6</v>
      </c>
      <c r="F21" s="12">
        <f>IF('Pass&amp;CardChoice'!$B$35,D21-E21,IF('Pass&amp;CardChoice'!$B$36,IF(NOT(OR('Pass&amp;CardChoice'!$B$12,'Pass&amp;CardChoice'!$B$13,'Pass&amp;CardChoice'!$B$14,'Pass&amp;CardChoice'!$B$15)),D21,0),0))</f>
        <v>0</v>
      </c>
      <c r="G21" s="19"/>
      <c r="H21" s="1">
        <f t="shared" si="3"/>
        <v>0</v>
      </c>
      <c r="I21" s="1">
        <f t="shared" si="5"/>
        <v>0</v>
      </c>
      <c r="J21" s="1">
        <f>H21-I21</f>
        <v>0</v>
      </c>
      <c r="K21" s="12">
        <f t="shared" si="2"/>
        <v>0</v>
      </c>
    </row>
    <row r="22" spans="2:11" ht="12.75">
      <c r="B22" t="s">
        <v>163</v>
      </c>
      <c r="C22" s="2"/>
      <c r="D22" s="12">
        <f>D14</f>
        <v>56</v>
      </c>
      <c r="E22" s="12">
        <f t="shared" si="4"/>
        <v>33.6</v>
      </c>
      <c r="F22" s="12">
        <f>IF('Pass&amp;CardChoice'!$B$7,D22-E22,0)</f>
        <v>0</v>
      </c>
      <c r="G22" s="45"/>
      <c r="H22" s="45"/>
      <c r="I22" s="45"/>
      <c r="J22" s="45"/>
      <c r="K22" s="12">
        <f>F22</f>
        <v>0</v>
      </c>
    </row>
    <row r="23" spans="2:11" ht="12.75">
      <c r="B23" t="s">
        <v>164</v>
      </c>
      <c r="C23" s="2"/>
      <c r="D23" s="12">
        <f>D18</f>
        <v>49</v>
      </c>
      <c r="E23" s="12">
        <f t="shared" si="4"/>
        <v>29.4</v>
      </c>
      <c r="F23" s="12">
        <f>IF('Pass&amp;CardChoice'!$B$7,D23-E23,0)</f>
        <v>0</v>
      </c>
      <c r="G23" s="45"/>
      <c r="H23" s="45"/>
      <c r="I23" s="45"/>
      <c r="J23" s="45"/>
      <c r="K23" s="12">
        <f>F23</f>
        <v>0</v>
      </c>
    </row>
    <row r="24" spans="1:11" ht="12.75">
      <c r="A24" t="s">
        <v>3</v>
      </c>
      <c r="D24" s="12"/>
      <c r="E24" s="12"/>
      <c r="K24" s="12"/>
    </row>
    <row r="25" spans="2:11" ht="12.75">
      <c r="B25" t="s">
        <v>27</v>
      </c>
      <c r="C25" s="2"/>
      <c r="D25" s="12">
        <f>'ticket prices'!C6</f>
        <v>51</v>
      </c>
      <c r="E25" s="12">
        <f t="shared" si="4"/>
        <v>30.599999999999998</v>
      </c>
      <c r="F25" s="12">
        <f>IF('Pass&amp;CardChoice'!$B$35,D25-E25,IF('Pass&amp;CardChoice'!$B$36,IF(NOT(OR('Pass&amp;CardChoice'!$B$12,'Pass&amp;CardChoice'!$B$13,'Pass&amp;CardChoice'!$B$14,'Pass&amp;CardChoice'!$B$15)),D25,0),0))</f>
        <v>0</v>
      </c>
      <c r="G25" s="19"/>
      <c r="H25" s="1">
        <f>CHOOSE('Rental type'!A5,'ticket prices'!B17,'ticket prices'!B24,0)</f>
        <v>0</v>
      </c>
      <c r="I25" s="1">
        <f t="shared" si="5"/>
        <v>0</v>
      </c>
      <c r="J25" s="1">
        <f>H25-I25</f>
        <v>0</v>
      </c>
      <c r="K25" s="12">
        <f aca="true" t="shared" si="6" ref="K25:K31">(C25*F25)+(G25*D25)+(C25*J25)+(G25*H25)</f>
        <v>0</v>
      </c>
    </row>
    <row r="26" spans="2:11" ht="12.75">
      <c r="B26" t="s">
        <v>28</v>
      </c>
      <c r="C26" s="2"/>
      <c r="D26" s="12">
        <f>D25</f>
        <v>51</v>
      </c>
      <c r="E26" s="12">
        <f t="shared" si="4"/>
        <v>30.599999999999998</v>
      </c>
      <c r="F26" s="12">
        <f>IF('Pass&amp;CardChoice'!$B$35,D26-E26,IF('Pass&amp;CardChoice'!$B$36,IF(NOT(OR('Pass&amp;CardChoice'!$B$12,'Pass&amp;CardChoice'!$B$13,'Pass&amp;CardChoice'!$B$14,'Pass&amp;CardChoice'!$B$15)),D26,0),0))</f>
        <v>0</v>
      </c>
      <c r="G26" s="19"/>
      <c r="H26" s="1">
        <f>H25</f>
        <v>0</v>
      </c>
      <c r="I26" s="1">
        <f t="shared" si="5"/>
        <v>0</v>
      </c>
      <c r="J26" s="1">
        <f aca="true" t="shared" si="7" ref="J26:J31">H26-I26</f>
        <v>0</v>
      </c>
      <c r="K26" s="12">
        <f t="shared" si="6"/>
        <v>0</v>
      </c>
    </row>
    <row r="27" spans="2:11" ht="12.75">
      <c r="B27" t="s">
        <v>43</v>
      </c>
      <c r="C27" s="2"/>
      <c r="D27" s="12">
        <f>D26</f>
        <v>51</v>
      </c>
      <c r="E27" s="12">
        <f t="shared" si="4"/>
        <v>30.599999999999998</v>
      </c>
      <c r="F27" s="12">
        <f>IF('Pass&amp;CardChoice'!$B$35,D27-E27,IF('Pass&amp;CardChoice'!$B$36,IF(NOT(OR('Pass&amp;CardChoice'!$B$12,'Pass&amp;CardChoice'!$B$13,'Pass&amp;CardChoice'!$B$14,'Pass&amp;CardChoice'!$B$15)),D27,0),0))</f>
        <v>0</v>
      </c>
      <c r="G27" s="19"/>
      <c r="H27" s="1">
        <f aca="true" t="shared" si="8" ref="H27:H32">H26</f>
        <v>0</v>
      </c>
      <c r="I27" s="1">
        <f t="shared" si="5"/>
        <v>0</v>
      </c>
      <c r="J27" s="1">
        <f>H27-I27</f>
        <v>0</v>
      </c>
      <c r="K27" s="12">
        <f t="shared" si="6"/>
        <v>0</v>
      </c>
    </row>
    <row r="28" spans="2:11" ht="12.75">
      <c r="B28" t="s">
        <v>44</v>
      </c>
      <c r="C28" s="2"/>
      <c r="D28" s="12">
        <f>D27</f>
        <v>51</v>
      </c>
      <c r="E28" s="12">
        <f t="shared" si="4"/>
        <v>30.599999999999998</v>
      </c>
      <c r="F28" s="12">
        <f>IF('Pass&amp;CardChoice'!$B$35,D28-E28,IF('Pass&amp;CardChoice'!$B$36,IF(NOT(OR('Pass&amp;CardChoice'!$B$12,'Pass&amp;CardChoice'!$B$13,'Pass&amp;CardChoice'!$B$14,'Pass&amp;CardChoice'!$B$15)),D28,0),0))</f>
        <v>0</v>
      </c>
      <c r="G28" s="19"/>
      <c r="H28" s="1">
        <f t="shared" si="8"/>
        <v>0</v>
      </c>
      <c r="I28" s="1">
        <f t="shared" si="5"/>
        <v>0</v>
      </c>
      <c r="J28" s="1">
        <f>H28-I28</f>
        <v>0</v>
      </c>
      <c r="K28" s="12">
        <f t="shared" si="6"/>
        <v>0</v>
      </c>
    </row>
    <row r="29" spans="2:11" ht="12.75">
      <c r="B29" t="s">
        <v>29</v>
      </c>
      <c r="C29" s="2"/>
      <c r="D29" s="12">
        <f>'ticket prices'!C10</f>
        <v>45</v>
      </c>
      <c r="E29" s="12">
        <f t="shared" si="4"/>
        <v>27</v>
      </c>
      <c r="F29" s="12">
        <f>IF('Pass&amp;CardChoice'!$B$35,D29-E29,IF('Pass&amp;CardChoice'!$B$36,IF(NOT(OR('Pass&amp;CardChoice'!$B$12,'Pass&amp;CardChoice'!$B$13,'Pass&amp;CardChoice'!$B$14,'Pass&amp;CardChoice'!$B$15)),D29,0),0))</f>
        <v>0</v>
      </c>
      <c r="G29" s="19"/>
      <c r="H29" s="1">
        <f t="shared" si="8"/>
        <v>0</v>
      </c>
      <c r="I29" s="1">
        <f t="shared" si="5"/>
        <v>0</v>
      </c>
      <c r="J29" s="1">
        <f t="shared" si="7"/>
        <v>0</v>
      </c>
      <c r="K29" s="12">
        <f t="shared" si="6"/>
        <v>0</v>
      </c>
    </row>
    <row r="30" spans="2:11" ht="12.75">
      <c r="B30" t="s">
        <v>30</v>
      </c>
      <c r="C30" s="2"/>
      <c r="D30" s="12">
        <f>D29</f>
        <v>45</v>
      </c>
      <c r="E30" s="12">
        <f t="shared" si="4"/>
        <v>27</v>
      </c>
      <c r="F30" s="12">
        <f>IF('Pass&amp;CardChoice'!$B$35,D30-E30,IF('Pass&amp;CardChoice'!$B$36,IF(NOT(OR('Pass&amp;CardChoice'!$B$12,'Pass&amp;CardChoice'!$B$13,'Pass&amp;CardChoice'!$B$14,'Pass&amp;CardChoice'!$B$15)),D30,0),0))</f>
        <v>0</v>
      </c>
      <c r="G30" s="19"/>
      <c r="H30" s="1">
        <f t="shared" si="8"/>
        <v>0</v>
      </c>
      <c r="I30" s="1">
        <f t="shared" si="5"/>
        <v>0</v>
      </c>
      <c r="J30" s="1">
        <f t="shared" si="7"/>
        <v>0</v>
      </c>
      <c r="K30" s="12">
        <f t="shared" si="6"/>
        <v>0</v>
      </c>
    </row>
    <row r="31" spans="2:11" ht="12.75">
      <c r="B31" t="s">
        <v>31</v>
      </c>
      <c r="C31" s="2"/>
      <c r="D31" s="12">
        <f>D30</f>
        <v>45</v>
      </c>
      <c r="E31" s="12">
        <f t="shared" si="4"/>
        <v>27</v>
      </c>
      <c r="F31" s="12">
        <f>IF('Pass&amp;CardChoice'!$B$35,D31-E31,IF('Pass&amp;CardChoice'!$B$36,IF(NOT(OR('Pass&amp;CardChoice'!$B$12,'Pass&amp;CardChoice'!$B$13,'Pass&amp;CardChoice'!$B$14,'Pass&amp;CardChoice'!$B$15)),D31,0),0))</f>
        <v>0</v>
      </c>
      <c r="G31" s="19"/>
      <c r="H31" s="1">
        <f t="shared" si="8"/>
        <v>0</v>
      </c>
      <c r="I31" s="1">
        <f t="shared" si="5"/>
        <v>0</v>
      </c>
      <c r="J31" s="1">
        <f t="shared" si="7"/>
        <v>0</v>
      </c>
      <c r="K31" s="12">
        <f t="shared" si="6"/>
        <v>0</v>
      </c>
    </row>
    <row r="32" spans="2:11" ht="12.75">
      <c r="B32" t="s">
        <v>191</v>
      </c>
      <c r="C32" s="2"/>
      <c r="D32" s="12">
        <f>D25</f>
        <v>51</v>
      </c>
      <c r="E32" s="12">
        <f t="shared" si="4"/>
        <v>30.599999999999998</v>
      </c>
      <c r="F32" s="12">
        <f>IF('Pass&amp;CardChoice'!$B$35,D32-E32,IF('Pass&amp;CardChoice'!$B$36,IF(NOT(OR('Pass&amp;CardChoice'!$B$12,'Pass&amp;CardChoice'!$B$13,'Pass&amp;CardChoice'!$B$14,'Pass&amp;CardChoice'!$B$15)),D32,0),0))</f>
        <v>0</v>
      </c>
      <c r="G32" s="19"/>
      <c r="H32" s="1">
        <f t="shared" si="8"/>
        <v>0</v>
      </c>
      <c r="I32" s="1">
        <f t="shared" si="5"/>
        <v>0</v>
      </c>
      <c r="J32" s="1">
        <f>H32-I32</f>
        <v>0</v>
      </c>
      <c r="K32" s="12">
        <f>(C32*F32)+(G32*D32)+(C32*J32)+(G32*H32)</f>
        <v>0</v>
      </c>
    </row>
    <row r="33" spans="2:11" ht="12.75">
      <c r="B33" t="s">
        <v>163</v>
      </c>
      <c r="C33" s="2"/>
      <c r="D33" s="12">
        <f>D25</f>
        <v>51</v>
      </c>
      <c r="E33" s="12">
        <f t="shared" si="4"/>
        <v>30.599999999999998</v>
      </c>
      <c r="F33" s="12">
        <f>IF('Pass&amp;CardChoice'!$B$7,D33-E33,0)</f>
        <v>0</v>
      </c>
      <c r="G33" s="45"/>
      <c r="H33" s="45"/>
      <c r="I33" s="45"/>
      <c r="J33" s="45"/>
      <c r="K33" s="12">
        <f>F33</f>
        <v>0</v>
      </c>
    </row>
    <row r="34" spans="2:11" ht="12.75">
      <c r="B34" t="s">
        <v>164</v>
      </c>
      <c r="C34" s="2"/>
      <c r="D34" s="12">
        <f>D29</f>
        <v>45</v>
      </c>
      <c r="E34" s="12">
        <f t="shared" si="4"/>
        <v>27</v>
      </c>
      <c r="F34" s="12">
        <f>IF('Pass&amp;CardChoice'!$B$7,D34-E34,0)</f>
        <v>0</v>
      </c>
      <c r="G34" s="45"/>
      <c r="H34" s="45"/>
      <c r="I34" s="45"/>
      <c r="J34" s="45"/>
      <c r="K34" s="12">
        <f>F34</f>
        <v>0</v>
      </c>
    </row>
    <row r="35" spans="1:11" ht="12.75">
      <c r="A35" t="s">
        <v>4</v>
      </c>
      <c r="D35" s="12"/>
      <c r="E35" s="12"/>
      <c r="K35" s="12"/>
    </row>
    <row r="36" spans="2:11" ht="12.75">
      <c r="B36" t="s">
        <v>27</v>
      </c>
      <c r="C36" s="2"/>
      <c r="D36" s="12">
        <f>'ticket prices'!C5</f>
        <v>47</v>
      </c>
      <c r="E36" s="12">
        <f t="shared" si="4"/>
        <v>28.2</v>
      </c>
      <c r="F36" s="12">
        <f>IF('Pass&amp;CardChoice'!$B$35,D36-E36,IF('Pass&amp;CardChoice'!$B$36,IF(NOT(OR('Pass&amp;CardChoice'!$B$12,'Pass&amp;CardChoice'!$B$13,'Pass&amp;CardChoice'!$B$14,'Pass&amp;CardChoice'!$B$15)),D36,0),0))</f>
        <v>0</v>
      </c>
      <c r="G36" s="19"/>
      <c r="H36" s="1">
        <f>CHOOSE('Rental type'!A5,'ticket prices'!B16,'ticket prices'!B23,0)</f>
        <v>0</v>
      </c>
      <c r="I36" s="1">
        <f t="shared" si="5"/>
        <v>0</v>
      </c>
      <c r="J36" s="1">
        <f aca="true" t="shared" si="9" ref="J36:J42">H36-I36</f>
        <v>0</v>
      </c>
      <c r="K36" s="12">
        <f aca="true" t="shared" si="10" ref="K36:K42">(C36*F36)+(G36*D36)+(C36*J36)+(G36*H36)</f>
        <v>0</v>
      </c>
    </row>
    <row r="37" spans="2:11" ht="12.75">
      <c r="B37" t="s">
        <v>28</v>
      </c>
      <c r="C37" s="2"/>
      <c r="D37" s="12">
        <f>D36</f>
        <v>47</v>
      </c>
      <c r="E37" s="12">
        <f t="shared" si="4"/>
        <v>28.2</v>
      </c>
      <c r="F37" s="12">
        <f>IF('Pass&amp;CardChoice'!$B$35,D37-E37,IF('Pass&amp;CardChoice'!$B$36,IF(NOT(OR('Pass&amp;CardChoice'!$B$12,'Pass&amp;CardChoice'!$B$13,'Pass&amp;CardChoice'!$B$14,'Pass&amp;CardChoice'!$B$15)),D37,0),0))</f>
        <v>0</v>
      </c>
      <c r="G37" s="19"/>
      <c r="H37" s="1">
        <f>H36</f>
        <v>0</v>
      </c>
      <c r="I37" s="1">
        <f t="shared" si="5"/>
        <v>0</v>
      </c>
      <c r="J37" s="1">
        <f t="shared" si="9"/>
        <v>0</v>
      </c>
      <c r="K37" s="12">
        <f t="shared" si="10"/>
        <v>0</v>
      </c>
    </row>
    <row r="38" spans="2:11" ht="12.75">
      <c r="B38" t="s">
        <v>43</v>
      </c>
      <c r="C38" s="2"/>
      <c r="D38" s="12">
        <f>D37</f>
        <v>47</v>
      </c>
      <c r="E38" s="12">
        <f t="shared" si="4"/>
        <v>28.2</v>
      </c>
      <c r="F38" s="12">
        <f>IF('Pass&amp;CardChoice'!$B$35,D38-E38,IF('Pass&amp;CardChoice'!$B$36,IF(NOT(OR('Pass&amp;CardChoice'!$B$12,'Pass&amp;CardChoice'!$B$13,'Pass&amp;CardChoice'!$B$14,'Pass&amp;CardChoice'!$B$15)),D38,0),0))</f>
        <v>0</v>
      </c>
      <c r="G38" s="19"/>
      <c r="H38" s="1">
        <f aca="true" t="shared" si="11" ref="H38:H43">H37</f>
        <v>0</v>
      </c>
      <c r="I38" s="1">
        <f t="shared" si="5"/>
        <v>0</v>
      </c>
      <c r="J38" s="1">
        <f>H38-I38</f>
        <v>0</v>
      </c>
      <c r="K38" s="12">
        <f t="shared" si="10"/>
        <v>0</v>
      </c>
    </row>
    <row r="39" spans="2:11" ht="12.75">
      <c r="B39" t="s">
        <v>44</v>
      </c>
      <c r="C39" s="2"/>
      <c r="D39" s="12">
        <f>D38</f>
        <v>47</v>
      </c>
      <c r="E39" s="12">
        <f t="shared" si="4"/>
        <v>28.2</v>
      </c>
      <c r="F39" s="12">
        <f>IF('Pass&amp;CardChoice'!$B$35,D39-E39,IF('Pass&amp;CardChoice'!$B$36,IF(NOT(OR('Pass&amp;CardChoice'!$B$12,'Pass&amp;CardChoice'!$B$13,'Pass&amp;CardChoice'!$B$14,'Pass&amp;CardChoice'!$B$15)),D39,0),0))</f>
        <v>0</v>
      </c>
      <c r="G39" s="19"/>
      <c r="H39" s="1">
        <f t="shared" si="11"/>
        <v>0</v>
      </c>
      <c r="I39" s="1">
        <f t="shared" si="5"/>
        <v>0</v>
      </c>
      <c r="J39" s="1">
        <f>H39-I39</f>
        <v>0</v>
      </c>
      <c r="K39" s="12">
        <f t="shared" si="10"/>
        <v>0</v>
      </c>
    </row>
    <row r="40" spans="2:11" ht="12.75">
      <c r="B40" t="s">
        <v>29</v>
      </c>
      <c r="C40" s="2"/>
      <c r="D40" s="12">
        <f>'ticket prices'!C9</f>
        <v>41</v>
      </c>
      <c r="E40" s="12">
        <f t="shared" si="4"/>
        <v>24.599999999999998</v>
      </c>
      <c r="F40" s="12">
        <f>IF('Pass&amp;CardChoice'!$B$35,D40-E40,IF('Pass&amp;CardChoice'!$B$36,IF(NOT(OR('Pass&amp;CardChoice'!$B$12,'Pass&amp;CardChoice'!$B$13,'Pass&amp;CardChoice'!$B$14,'Pass&amp;CardChoice'!$B$15)),D40,0),0))</f>
        <v>0</v>
      </c>
      <c r="G40" s="19"/>
      <c r="H40" s="1">
        <f t="shared" si="11"/>
        <v>0</v>
      </c>
      <c r="I40" s="1">
        <f t="shared" si="5"/>
        <v>0</v>
      </c>
      <c r="J40" s="1">
        <f t="shared" si="9"/>
        <v>0</v>
      </c>
      <c r="K40" s="12">
        <f t="shared" si="10"/>
        <v>0</v>
      </c>
    </row>
    <row r="41" spans="2:11" ht="12.75">
      <c r="B41" t="s">
        <v>30</v>
      </c>
      <c r="C41" s="2"/>
      <c r="D41" s="12">
        <f>D40</f>
        <v>41</v>
      </c>
      <c r="E41" s="12">
        <f t="shared" si="4"/>
        <v>24.599999999999998</v>
      </c>
      <c r="F41" s="12">
        <f>IF('Pass&amp;CardChoice'!$B$35,D41-E41,IF('Pass&amp;CardChoice'!$B$36,IF(NOT(OR('Pass&amp;CardChoice'!$B$12,'Pass&amp;CardChoice'!$B$13,'Pass&amp;CardChoice'!$B$14,'Pass&amp;CardChoice'!$B$15)),D41,0),0))</f>
        <v>0</v>
      </c>
      <c r="G41" s="19"/>
      <c r="H41" s="1">
        <f t="shared" si="11"/>
        <v>0</v>
      </c>
      <c r="I41" s="1">
        <f t="shared" si="5"/>
        <v>0</v>
      </c>
      <c r="J41" s="1">
        <f t="shared" si="9"/>
        <v>0</v>
      </c>
      <c r="K41" s="12">
        <f t="shared" si="10"/>
        <v>0</v>
      </c>
    </row>
    <row r="42" spans="2:11" ht="12.75">
      <c r="B42" t="s">
        <v>31</v>
      </c>
      <c r="C42" s="2"/>
      <c r="D42" s="12">
        <f>D41</f>
        <v>41</v>
      </c>
      <c r="E42" s="12">
        <f t="shared" si="4"/>
        <v>24.599999999999998</v>
      </c>
      <c r="F42" s="12">
        <f>IF('Pass&amp;CardChoice'!$B$35,D42-E42,IF('Pass&amp;CardChoice'!$B$36,IF(NOT(OR('Pass&amp;CardChoice'!$B$12,'Pass&amp;CardChoice'!$B$13,'Pass&amp;CardChoice'!$B$14,'Pass&amp;CardChoice'!$B$15)),D42,0),0))</f>
        <v>0</v>
      </c>
      <c r="G42" s="19"/>
      <c r="H42" s="1">
        <f t="shared" si="11"/>
        <v>0</v>
      </c>
      <c r="I42" s="1">
        <f t="shared" si="5"/>
        <v>0</v>
      </c>
      <c r="J42" s="1">
        <f t="shared" si="9"/>
        <v>0</v>
      </c>
      <c r="K42" s="12">
        <f t="shared" si="10"/>
        <v>0</v>
      </c>
    </row>
    <row r="43" spans="2:11" ht="12.75">
      <c r="B43" t="s">
        <v>191</v>
      </c>
      <c r="C43" s="2"/>
      <c r="D43" s="12">
        <f>D36</f>
        <v>47</v>
      </c>
      <c r="E43" s="12">
        <f t="shared" si="4"/>
        <v>28.2</v>
      </c>
      <c r="F43" s="12">
        <f>IF('Pass&amp;CardChoice'!$B$35,D43-E43,IF('Pass&amp;CardChoice'!$B$36,IF(NOT(OR('Pass&amp;CardChoice'!$B$12,'Pass&amp;CardChoice'!$B$13,'Pass&amp;CardChoice'!$B$14,'Pass&amp;CardChoice'!$B$15)),D43,0),0))</f>
        <v>0</v>
      </c>
      <c r="G43" s="19"/>
      <c r="H43" s="1">
        <f t="shared" si="11"/>
        <v>0</v>
      </c>
      <c r="I43" s="1">
        <f t="shared" si="5"/>
        <v>0</v>
      </c>
      <c r="J43" s="1">
        <f>H43-I43</f>
        <v>0</v>
      </c>
      <c r="K43" s="12">
        <f>(C43*F43)+(G43*D43)+(C43*J43)+(G43*H43)</f>
        <v>0</v>
      </c>
    </row>
    <row r="44" spans="2:11" ht="12.75">
      <c r="B44" t="s">
        <v>163</v>
      </c>
      <c r="C44" s="2"/>
      <c r="D44" s="12">
        <f>D36</f>
        <v>47</v>
      </c>
      <c r="E44" s="12">
        <f t="shared" si="4"/>
        <v>28.2</v>
      </c>
      <c r="F44" s="12">
        <f>IF('Pass&amp;CardChoice'!$B$7,D44-E44,0)</f>
        <v>0</v>
      </c>
      <c r="G44" s="45"/>
      <c r="H44" s="45"/>
      <c r="I44" s="45"/>
      <c r="J44" s="45"/>
      <c r="K44" s="12">
        <f>F44</f>
        <v>0</v>
      </c>
    </row>
    <row r="45" spans="2:11" ht="12.75">
      <c r="B45" t="s">
        <v>164</v>
      </c>
      <c r="C45" s="2"/>
      <c r="D45" s="12">
        <f>D40</f>
        <v>41</v>
      </c>
      <c r="E45" s="12">
        <f t="shared" si="4"/>
        <v>24.599999999999998</v>
      </c>
      <c r="F45" s="12">
        <f>IF('Pass&amp;CardChoice'!$B$7,D45-E45,0)</f>
        <v>0</v>
      </c>
      <c r="G45" s="45"/>
      <c r="H45" s="45"/>
      <c r="I45" s="45"/>
      <c r="J45" s="45"/>
      <c r="K45" s="12">
        <f>F45</f>
        <v>0</v>
      </c>
    </row>
    <row r="46" spans="1:11" ht="12.75">
      <c r="A46" t="s">
        <v>7</v>
      </c>
      <c r="D46" s="12"/>
      <c r="E46" s="12"/>
      <c r="K46" s="12"/>
    </row>
    <row r="47" spans="2:11" ht="12.75">
      <c r="B47" t="s">
        <v>27</v>
      </c>
      <c r="C47" s="2"/>
      <c r="D47" s="12">
        <f>'ticket prices'!B4</f>
        <v>32</v>
      </c>
      <c r="E47" s="12">
        <f t="shared" si="4"/>
        <v>19.2</v>
      </c>
      <c r="F47" s="12">
        <f>IF('Pass&amp;CardChoice'!$B$35,D47-E47,IF('Pass&amp;CardChoice'!$B$36,IF(NOT(OR('Pass&amp;CardChoice'!$B$12,'Pass&amp;CardChoice'!$B$13,'Pass&amp;CardChoice'!$B$14)),D47,0),0))</f>
        <v>0</v>
      </c>
      <c r="G47" s="19"/>
      <c r="H47" s="1">
        <f>CHOOSE('Rental type'!A5,'ticket prices'!B15,'ticket prices'!B22,0)</f>
        <v>0</v>
      </c>
      <c r="I47" s="1">
        <f t="shared" si="5"/>
        <v>0</v>
      </c>
      <c r="J47" s="1">
        <f aca="true" t="shared" si="12" ref="J47:J53">H47-I47</f>
        <v>0</v>
      </c>
      <c r="K47" s="12">
        <f aca="true" t="shared" si="13" ref="K47:K53">(C47*F47)+(G47*D47)+(C47*J47)+(G47*H47)</f>
        <v>0</v>
      </c>
    </row>
    <row r="48" spans="2:11" ht="12.75">
      <c r="B48" t="s">
        <v>28</v>
      </c>
      <c r="C48" s="2"/>
      <c r="D48" s="12">
        <f>D47</f>
        <v>32</v>
      </c>
      <c r="E48" s="12">
        <f t="shared" si="4"/>
        <v>19.2</v>
      </c>
      <c r="F48" s="12">
        <f>IF('Pass&amp;CardChoice'!$B$35,D48-E48,IF('Pass&amp;CardChoice'!$B$36,IF(NOT(OR('Pass&amp;CardChoice'!$B$12,'Pass&amp;CardChoice'!$B$13,'Pass&amp;CardChoice'!$B$14)),D48,0),0))</f>
        <v>0</v>
      </c>
      <c r="G48" s="19"/>
      <c r="H48" s="1">
        <f>H47</f>
        <v>0</v>
      </c>
      <c r="I48" s="1">
        <f t="shared" si="5"/>
        <v>0</v>
      </c>
      <c r="J48" s="1">
        <f t="shared" si="12"/>
        <v>0</v>
      </c>
      <c r="K48" s="12">
        <f t="shared" si="13"/>
        <v>0</v>
      </c>
    </row>
    <row r="49" spans="2:11" ht="12.75">
      <c r="B49" t="s">
        <v>43</v>
      </c>
      <c r="C49" s="2"/>
      <c r="D49" s="12">
        <f>D48</f>
        <v>32</v>
      </c>
      <c r="E49" s="12">
        <f t="shared" si="4"/>
        <v>19.2</v>
      </c>
      <c r="F49" s="12">
        <f>IF('Pass&amp;CardChoice'!$B$35,D49-E49,IF('Pass&amp;CardChoice'!$B$36,IF(NOT(OR('Pass&amp;CardChoice'!$B$12,'Pass&amp;CardChoice'!$B$13,'Pass&amp;CardChoice'!$B$14)),D49,0),0))</f>
        <v>0</v>
      </c>
      <c r="G49" s="19"/>
      <c r="H49" s="1">
        <f aca="true" t="shared" si="14" ref="H49:H54">H48</f>
        <v>0</v>
      </c>
      <c r="I49" s="1">
        <f t="shared" si="5"/>
        <v>0</v>
      </c>
      <c r="J49" s="1">
        <f>H49-I49</f>
        <v>0</v>
      </c>
      <c r="K49" s="12">
        <f t="shared" si="13"/>
        <v>0</v>
      </c>
    </row>
    <row r="50" spans="2:11" ht="12.75">
      <c r="B50" t="s">
        <v>44</v>
      </c>
      <c r="C50" s="2"/>
      <c r="D50" s="12">
        <f>D49</f>
        <v>32</v>
      </c>
      <c r="E50" s="12">
        <f t="shared" si="4"/>
        <v>19.2</v>
      </c>
      <c r="F50" s="12">
        <f>IF('Pass&amp;CardChoice'!$B$35,D50-E50,IF('Pass&amp;CardChoice'!$B$36,IF(NOT(OR('Pass&amp;CardChoice'!$B$12,'Pass&amp;CardChoice'!$B$13,'Pass&amp;CardChoice'!$B$14)),D50,0),0))</f>
        <v>0</v>
      </c>
      <c r="G50" s="19"/>
      <c r="H50" s="1">
        <f t="shared" si="14"/>
        <v>0</v>
      </c>
      <c r="I50" s="1">
        <f t="shared" si="5"/>
        <v>0</v>
      </c>
      <c r="J50" s="1">
        <f>H50-I50</f>
        <v>0</v>
      </c>
      <c r="K50" s="12">
        <f t="shared" si="13"/>
        <v>0</v>
      </c>
    </row>
    <row r="51" spans="2:11" ht="12.75">
      <c r="B51" t="s">
        <v>29</v>
      </c>
      <c r="C51" s="2"/>
      <c r="D51" s="12">
        <f>'ticket prices'!B8</f>
        <v>27</v>
      </c>
      <c r="E51" s="12">
        <f>0.6*D51</f>
        <v>16.2</v>
      </c>
      <c r="F51" s="12">
        <f>IF('Pass&amp;CardChoice'!$B$35,D51-E51,IF('Pass&amp;CardChoice'!$B$36,IF(NOT(OR('Pass&amp;CardChoice'!$B$12,'Pass&amp;CardChoice'!$B$13,'Pass&amp;CardChoice'!$B$14)),D51,0),0))</f>
        <v>0</v>
      </c>
      <c r="G51" s="19"/>
      <c r="H51" s="1">
        <f t="shared" si="14"/>
        <v>0</v>
      </c>
      <c r="I51" s="1">
        <f>0.6*H51</f>
        <v>0</v>
      </c>
      <c r="J51" s="1">
        <f t="shared" si="12"/>
        <v>0</v>
      </c>
      <c r="K51" s="12">
        <f t="shared" si="13"/>
        <v>0</v>
      </c>
    </row>
    <row r="52" spans="2:11" ht="12.75">
      <c r="B52" t="s">
        <v>30</v>
      </c>
      <c r="C52" s="2"/>
      <c r="D52" s="12">
        <f>D51</f>
        <v>27</v>
      </c>
      <c r="E52" s="12">
        <f>0.6*D52</f>
        <v>16.2</v>
      </c>
      <c r="F52" s="12">
        <f>IF('Pass&amp;CardChoice'!$B$35,D52-E52,IF('Pass&amp;CardChoice'!$B$36,IF(NOT(OR('Pass&amp;CardChoice'!$B$12,'Pass&amp;CardChoice'!$B$13,'Pass&amp;CardChoice'!$B$14)),D52,0),0))</f>
        <v>0</v>
      </c>
      <c r="G52" s="19"/>
      <c r="H52" s="1">
        <f t="shared" si="14"/>
        <v>0</v>
      </c>
      <c r="I52" s="1">
        <f>0.6*H52</f>
        <v>0</v>
      </c>
      <c r="J52" s="1">
        <f t="shared" si="12"/>
        <v>0</v>
      </c>
      <c r="K52" s="12">
        <f t="shared" si="13"/>
        <v>0</v>
      </c>
    </row>
    <row r="53" spans="2:11" ht="12.75">
      <c r="B53" t="s">
        <v>31</v>
      </c>
      <c r="C53" s="2"/>
      <c r="D53" s="12">
        <f>D52</f>
        <v>27</v>
      </c>
      <c r="E53" s="12">
        <f>0.6*D53</f>
        <v>16.2</v>
      </c>
      <c r="F53" s="12">
        <f>IF('Pass&amp;CardChoice'!$B$35,D53-E53,IF('Pass&amp;CardChoice'!$B$36,IF(NOT(OR('Pass&amp;CardChoice'!$B$12,'Pass&amp;CardChoice'!$B$13,'Pass&amp;CardChoice'!$B$14)),D53,0),0))</f>
        <v>0</v>
      </c>
      <c r="G53" s="19"/>
      <c r="H53" s="1">
        <f t="shared" si="14"/>
        <v>0</v>
      </c>
      <c r="I53" s="1">
        <f>0.6*H53</f>
        <v>0</v>
      </c>
      <c r="J53" s="1">
        <f t="shared" si="12"/>
        <v>0</v>
      </c>
      <c r="K53" s="12">
        <f t="shared" si="13"/>
        <v>0</v>
      </c>
    </row>
    <row r="54" spans="2:11" ht="12.75">
      <c r="B54" t="s">
        <v>191</v>
      </c>
      <c r="C54" s="2"/>
      <c r="D54" s="12">
        <f>D50/2</f>
        <v>16</v>
      </c>
      <c r="E54" s="12">
        <f>D54</f>
        <v>16</v>
      </c>
      <c r="F54" s="12">
        <f>IF('Pass&amp;CardChoice'!$B$35,D54-E54,IF('Pass&amp;CardChoice'!$B$36,IF(NOT(OR('Pass&amp;CardChoice'!$B$12,'Pass&amp;CardChoice'!$B$13,'Pass&amp;CardChoice'!$B$14)),D54,0),0))</f>
        <v>0</v>
      </c>
      <c r="G54" s="19"/>
      <c r="H54" s="1">
        <f t="shared" si="14"/>
        <v>0</v>
      </c>
      <c r="I54" s="1">
        <f>0.6*H54</f>
        <v>0</v>
      </c>
      <c r="J54" s="1">
        <f>H54-I54</f>
        <v>0</v>
      </c>
      <c r="K54" s="12">
        <f>(C54*F54)+(G54*D54)+(C54*J54)+(G54*H54)</f>
        <v>0</v>
      </c>
    </row>
    <row r="55" spans="2:11" ht="12.75">
      <c r="B55" t="s">
        <v>163</v>
      </c>
      <c r="C55" s="2"/>
      <c r="D55" s="12">
        <f>D47</f>
        <v>32</v>
      </c>
      <c r="E55" s="12">
        <v>27</v>
      </c>
      <c r="F55" s="12">
        <f>IF('Pass&amp;CardChoice'!$B$7,D55-E55,0)</f>
        <v>0</v>
      </c>
      <c r="G55" s="45"/>
      <c r="H55" s="45"/>
      <c r="I55" s="45"/>
      <c r="J55" s="45"/>
      <c r="K55" s="12">
        <v>0</v>
      </c>
    </row>
    <row r="56" spans="2:11" ht="12.75">
      <c r="B56" t="s">
        <v>164</v>
      </c>
      <c r="C56" s="2"/>
      <c r="D56" s="12">
        <f>D51</f>
        <v>27</v>
      </c>
      <c r="E56" s="12">
        <v>23.4</v>
      </c>
      <c r="F56" s="12">
        <f>IF('Pass&amp;CardChoice'!$B$7,D56-E56,0)</f>
        <v>0</v>
      </c>
      <c r="G56" s="45"/>
      <c r="H56" s="45"/>
      <c r="I56" s="45"/>
      <c r="J56" s="45"/>
      <c r="K56" s="12">
        <v>0</v>
      </c>
    </row>
    <row r="57" ht="12.75">
      <c r="A57" t="s">
        <v>13</v>
      </c>
    </row>
    <row r="58" spans="2:11" ht="12.75">
      <c r="B58" t="s">
        <v>27</v>
      </c>
      <c r="C58" s="2"/>
      <c r="D58" s="12">
        <f>'ticket prices'!B7</f>
        <v>49</v>
      </c>
      <c r="E58" s="12">
        <f>0.6*D58</f>
        <v>29.4</v>
      </c>
      <c r="F58" s="12">
        <f>IF('Pass&amp;CardChoice'!$B$35,D58-E58,IF('Pass&amp;CardChoice'!$B$36,IF(NOT(OR('Pass&amp;CardChoice'!$B$13,'Pass&amp;CardChoice'!$B$14,'Pass&amp;CardChoice'!$B$15)),D58,0),0))</f>
        <v>0</v>
      </c>
      <c r="G58" s="19"/>
      <c r="H58" s="1">
        <f>CHOOSE('Rental type'!A5,'ticket prices'!B18,'ticket prices'!B25,0)</f>
        <v>0</v>
      </c>
      <c r="I58" s="1">
        <f aca="true" t="shared" si="15" ref="I58:I65">0.6*H58</f>
        <v>0</v>
      </c>
      <c r="J58" s="1">
        <f>(H58-I58)</f>
        <v>0</v>
      </c>
      <c r="K58" s="12">
        <f>(C58*F58)+(G58*D58)+(C58*J58)+(G58*H58)</f>
        <v>0</v>
      </c>
    </row>
    <row r="59" spans="2:11" ht="12.75">
      <c r="B59" t="s">
        <v>28</v>
      </c>
      <c r="C59" s="2"/>
      <c r="D59" s="12">
        <f>D58</f>
        <v>49</v>
      </c>
      <c r="E59" s="12">
        <f>0.6*D59</f>
        <v>29.4</v>
      </c>
      <c r="F59" s="12">
        <f>IF('Pass&amp;CardChoice'!$B$35,D59-E59,IF('Pass&amp;CardChoice'!$B$36,IF(NOT(OR('Pass&amp;CardChoice'!$B$13,'Pass&amp;CardChoice'!$B$14,'Pass&amp;CardChoice'!$B$15)),D59,0),0))</f>
        <v>0</v>
      </c>
      <c r="G59" s="19"/>
      <c r="H59" s="1">
        <f>H58</f>
        <v>0</v>
      </c>
      <c r="I59" s="1">
        <f t="shared" si="15"/>
        <v>0</v>
      </c>
      <c r="J59" s="1">
        <f aca="true" t="shared" si="16" ref="J59:J65">H59-I59</f>
        <v>0</v>
      </c>
      <c r="K59" s="12">
        <f aca="true" t="shared" si="17" ref="K59:K64">(C59*F59)+(G59*D59)+(C59*J59)+(G59*H59)</f>
        <v>0</v>
      </c>
    </row>
    <row r="60" spans="2:11" ht="12.75">
      <c r="B60" t="s">
        <v>43</v>
      </c>
      <c r="C60" s="2"/>
      <c r="D60" s="12">
        <f>D59</f>
        <v>49</v>
      </c>
      <c r="E60" s="12">
        <f>0.6*D60</f>
        <v>29.4</v>
      </c>
      <c r="F60" s="12">
        <f>IF('Pass&amp;CardChoice'!$B$35,D60-E60,IF('Pass&amp;CardChoice'!$B$36,IF(NOT(OR('Pass&amp;CardChoice'!$B$13,'Pass&amp;CardChoice'!$B$14,'Pass&amp;CardChoice'!$B$15)),D60,0),0))</f>
        <v>0</v>
      </c>
      <c r="G60" s="19"/>
      <c r="H60" s="1">
        <f aca="true" t="shared" si="18" ref="H60:H65">H59</f>
        <v>0</v>
      </c>
      <c r="I60" s="1">
        <f t="shared" si="15"/>
        <v>0</v>
      </c>
      <c r="J60" s="1">
        <f t="shared" si="16"/>
        <v>0</v>
      </c>
      <c r="K60" s="12">
        <f t="shared" si="17"/>
        <v>0</v>
      </c>
    </row>
    <row r="61" spans="2:11" ht="12.75">
      <c r="B61" t="s">
        <v>44</v>
      </c>
      <c r="C61" s="2"/>
      <c r="D61" s="12">
        <f>D60</f>
        <v>49</v>
      </c>
      <c r="E61" s="12">
        <f>0.6*D61</f>
        <v>29.4</v>
      </c>
      <c r="F61" s="12">
        <f>IF('Pass&amp;CardChoice'!$B$35,D61-E61,IF('Pass&amp;CardChoice'!$B$36,IF(NOT(OR('Pass&amp;CardChoice'!$B$13,'Pass&amp;CardChoice'!$B$14,'Pass&amp;CardChoice'!$B$15)),D61,0),0))</f>
        <v>0</v>
      </c>
      <c r="G61" s="19"/>
      <c r="H61" s="1">
        <f t="shared" si="18"/>
        <v>0</v>
      </c>
      <c r="I61" s="1">
        <f t="shared" si="15"/>
        <v>0</v>
      </c>
      <c r="J61" s="1">
        <f t="shared" si="16"/>
        <v>0</v>
      </c>
      <c r="K61" s="12">
        <f t="shared" si="17"/>
        <v>0</v>
      </c>
    </row>
    <row r="62" spans="2:11" ht="12.75">
      <c r="B62" t="s">
        <v>29</v>
      </c>
      <c r="C62" s="2"/>
      <c r="D62" s="12">
        <f>'ticket prices'!B11</f>
        <v>42</v>
      </c>
      <c r="E62" s="12">
        <f t="shared" si="4"/>
        <v>25.2</v>
      </c>
      <c r="F62" s="12">
        <f>IF('Pass&amp;CardChoice'!$B$35,D62-E62,IF('Pass&amp;CardChoice'!$B$36,IF(NOT(OR('Pass&amp;CardChoice'!$B$13,'Pass&amp;CardChoice'!$B$14,'Pass&amp;CardChoice'!$B$15)),D62,0),0))</f>
        <v>0</v>
      </c>
      <c r="G62" s="19"/>
      <c r="H62" s="1">
        <f t="shared" si="18"/>
        <v>0</v>
      </c>
      <c r="I62" s="1">
        <f t="shared" si="15"/>
        <v>0</v>
      </c>
      <c r="J62" s="1">
        <f t="shared" si="16"/>
        <v>0</v>
      </c>
      <c r="K62" s="12">
        <f t="shared" si="17"/>
        <v>0</v>
      </c>
    </row>
    <row r="63" spans="2:11" ht="12.75">
      <c r="B63" t="s">
        <v>30</v>
      </c>
      <c r="C63" s="2"/>
      <c r="D63" s="12">
        <f>D62</f>
        <v>42</v>
      </c>
      <c r="E63" s="12">
        <f t="shared" si="4"/>
        <v>25.2</v>
      </c>
      <c r="F63" s="12">
        <f>IF('Pass&amp;CardChoice'!$B$35,D63-E63,IF('Pass&amp;CardChoice'!$B$36,IF(NOT(OR('Pass&amp;CardChoice'!$B$13,'Pass&amp;CardChoice'!$B$14,'Pass&amp;CardChoice'!$B$15)),D63,0),0))</f>
        <v>0</v>
      </c>
      <c r="G63" s="19"/>
      <c r="H63" s="1">
        <f t="shared" si="18"/>
        <v>0</v>
      </c>
      <c r="I63" s="1">
        <f t="shared" si="15"/>
        <v>0</v>
      </c>
      <c r="J63" s="1">
        <f t="shared" si="16"/>
        <v>0</v>
      </c>
      <c r="K63" s="12">
        <f t="shared" si="17"/>
        <v>0</v>
      </c>
    </row>
    <row r="64" spans="2:11" ht="12.75">
      <c r="B64" t="s">
        <v>31</v>
      </c>
      <c r="C64" s="2"/>
      <c r="D64" s="12">
        <f>D63</f>
        <v>42</v>
      </c>
      <c r="E64" s="12">
        <f t="shared" si="4"/>
        <v>25.2</v>
      </c>
      <c r="F64" s="12">
        <f>IF('Pass&amp;CardChoice'!$B$35,D64-E64,IF('Pass&amp;CardChoice'!$B$36,IF(NOT(OR('Pass&amp;CardChoice'!$B$13,'Pass&amp;CardChoice'!$B$14,'Pass&amp;CardChoice'!$B$15)),D64,0),0))</f>
        <v>0</v>
      </c>
      <c r="G64" s="19"/>
      <c r="H64" s="1">
        <f t="shared" si="18"/>
        <v>0</v>
      </c>
      <c r="I64" s="1">
        <f t="shared" si="15"/>
        <v>0</v>
      </c>
      <c r="J64" s="1">
        <f t="shared" si="16"/>
        <v>0</v>
      </c>
      <c r="K64" s="12">
        <f t="shared" si="17"/>
        <v>0</v>
      </c>
    </row>
    <row r="65" spans="2:11" ht="12.75">
      <c r="B65" t="s">
        <v>191</v>
      </c>
      <c r="C65" s="2"/>
      <c r="D65" s="12">
        <f>D61/2</f>
        <v>24.5</v>
      </c>
      <c r="E65" s="12">
        <f>D65</f>
        <v>24.5</v>
      </c>
      <c r="F65" s="12">
        <f>IF('Pass&amp;CardChoice'!$B$35,D65-E65,IF('Pass&amp;CardChoice'!$B$36,IF(NOT(OR('Pass&amp;CardChoice'!$B$14,'Pass&amp;CardChoice'!$B$15)),D65,0),0))</f>
        <v>0</v>
      </c>
      <c r="G65" s="19"/>
      <c r="H65" s="1">
        <f t="shared" si="18"/>
        <v>0</v>
      </c>
      <c r="I65" s="1">
        <f t="shared" si="15"/>
        <v>0</v>
      </c>
      <c r="J65" s="1">
        <f t="shared" si="16"/>
        <v>0</v>
      </c>
      <c r="K65" s="12">
        <f>(C65*F65)+(G65*D65)+(C65*J65)+(G65*H65)</f>
        <v>0</v>
      </c>
    </row>
    <row r="66" spans="2:11" ht="12.75">
      <c r="B66" t="s">
        <v>163</v>
      </c>
      <c r="C66" s="2"/>
      <c r="D66" s="12">
        <f>D58</f>
        <v>49</v>
      </c>
      <c r="E66" s="12">
        <v>27</v>
      </c>
      <c r="F66" s="12">
        <f>IF('Pass&amp;CardChoice'!$B$7,D66-E66,0)</f>
        <v>0</v>
      </c>
      <c r="G66" s="45"/>
      <c r="H66" s="45"/>
      <c r="I66" s="45"/>
      <c r="J66" s="45"/>
      <c r="K66" s="12">
        <v>0</v>
      </c>
    </row>
    <row r="67" spans="2:11" ht="12.75">
      <c r="B67" t="s">
        <v>164</v>
      </c>
      <c r="C67" s="2"/>
      <c r="D67" s="12">
        <f>D62</f>
        <v>42</v>
      </c>
      <c r="E67" s="12">
        <v>23.4</v>
      </c>
      <c r="F67" s="12">
        <f>IF('Pass&amp;CardChoice'!$B$7,D67-E67,0)</f>
        <v>0</v>
      </c>
      <c r="G67" s="45"/>
      <c r="H67" s="45"/>
      <c r="I67" s="45"/>
      <c r="J67" s="45"/>
      <c r="K67" s="12">
        <v>0</v>
      </c>
    </row>
    <row r="68" spans="1:11" ht="12.75">
      <c r="A68" t="s">
        <v>5</v>
      </c>
      <c r="D68" s="12"/>
      <c r="E68" s="12"/>
      <c r="K68" s="12"/>
    </row>
    <row r="69" spans="2:11" ht="12.75">
      <c r="B69" t="s">
        <v>27</v>
      </c>
      <c r="C69" s="2"/>
      <c r="D69" s="12">
        <f>'ticket prices'!B6</f>
        <v>43</v>
      </c>
      <c r="E69" s="12">
        <f t="shared" si="4"/>
        <v>25.8</v>
      </c>
      <c r="F69" s="12">
        <f>IF('Pass&amp;CardChoice'!$B$35,D69-E69,IF('Pass&amp;CardChoice'!$B$36,IF(NOT(OR('Pass&amp;CardChoice'!$B$13,'Pass&amp;CardChoice'!$B$14,'Pass&amp;CardChoice'!$B$15)),D69,0),0))</f>
        <v>0</v>
      </c>
      <c r="G69" s="19"/>
      <c r="H69" s="1">
        <f>CHOOSE('Rental type'!A5,'ticket prices'!B17,'ticket prices'!B24,0)</f>
        <v>0</v>
      </c>
      <c r="I69" s="1">
        <f aca="true" t="shared" si="19" ref="I69:I87">0.6*H69</f>
        <v>0</v>
      </c>
      <c r="J69" s="1">
        <f aca="true" t="shared" si="20" ref="J69:J75">H69-I69</f>
        <v>0</v>
      </c>
      <c r="K69" s="12">
        <f aca="true" t="shared" si="21" ref="K69:K75">(C69*F69)+(G69*D69)+(C69*J69)+(G69*H69)</f>
        <v>0</v>
      </c>
    </row>
    <row r="70" spans="2:11" ht="12.75">
      <c r="B70" t="s">
        <v>28</v>
      </c>
      <c r="C70" s="2"/>
      <c r="D70" s="12">
        <f>D69</f>
        <v>43</v>
      </c>
      <c r="E70" s="12">
        <f t="shared" si="4"/>
        <v>25.8</v>
      </c>
      <c r="F70" s="12">
        <f>IF('Pass&amp;CardChoice'!$B$35,D70-E70,IF('Pass&amp;CardChoice'!$B$36,IF(NOT(OR('Pass&amp;CardChoice'!$B$13,'Pass&amp;CardChoice'!$B$14,'Pass&amp;CardChoice'!$B$15)),D70,0),0))</f>
        <v>0</v>
      </c>
      <c r="G70" s="19"/>
      <c r="H70" s="1">
        <f>H69</f>
        <v>0</v>
      </c>
      <c r="I70" s="1">
        <f t="shared" si="19"/>
        <v>0</v>
      </c>
      <c r="J70" s="1">
        <f t="shared" si="20"/>
        <v>0</v>
      </c>
      <c r="K70" s="12">
        <f t="shared" si="21"/>
        <v>0</v>
      </c>
    </row>
    <row r="71" spans="2:11" ht="12.75">
      <c r="B71" t="s">
        <v>43</v>
      </c>
      <c r="C71" s="2"/>
      <c r="D71" s="12">
        <f>D70</f>
        <v>43</v>
      </c>
      <c r="E71" s="12">
        <f t="shared" si="4"/>
        <v>25.8</v>
      </c>
      <c r="F71" s="12">
        <f>IF('Pass&amp;CardChoice'!$B$35,D71-E71,IF('Pass&amp;CardChoice'!$B$36,IF(NOT(OR('Pass&amp;CardChoice'!$B$13,'Pass&amp;CardChoice'!$B$14,'Pass&amp;CardChoice'!$B$15)),D71,0),0))</f>
        <v>0</v>
      </c>
      <c r="G71" s="19"/>
      <c r="H71" s="1">
        <f aca="true" t="shared" si="22" ref="H71:H76">H70</f>
        <v>0</v>
      </c>
      <c r="I71" s="1">
        <f t="shared" si="19"/>
        <v>0</v>
      </c>
      <c r="J71" s="1">
        <f>H71-I71</f>
        <v>0</v>
      </c>
      <c r="K71" s="12">
        <f t="shared" si="21"/>
        <v>0</v>
      </c>
    </row>
    <row r="72" spans="2:11" ht="12.75">
      <c r="B72" t="s">
        <v>44</v>
      </c>
      <c r="C72" s="2"/>
      <c r="D72" s="12">
        <f>D71</f>
        <v>43</v>
      </c>
      <c r="E72" s="12">
        <f t="shared" si="4"/>
        <v>25.8</v>
      </c>
      <c r="F72" s="12">
        <f>IF('Pass&amp;CardChoice'!$B$35,D72-E72,IF('Pass&amp;CardChoice'!$B$36,IF(NOT(OR('Pass&amp;CardChoice'!$B$13,'Pass&amp;CardChoice'!$B$14,'Pass&amp;CardChoice'!$B$15)),D72,0),0))</f>
        <v>0</v>
      </c>
      <c r="G72" s="19"/>
      <c r="H72" s="1">
        <f t="shared" si="22"/>
        <v>0</v>
      </c>
      <c r="I72" s="1">
        <f t="shared" si="19"/>
        <v>0</v>
      </c>
      <c r="J72" s="1">
        <f>H72-I72</f>
        <v>0</v>
      </c>
      <c r="K72" s="12">
        <f t="shared" si="21"/>
        <v>0</v>
      </c>
    </row>
    <row r="73" spans="2:11" ht="12.75">
      <c r="B73" t="s">
        <v>29</v>
      </c>
      <c r="C73" s="2"/>
      <c r="D73" s="12">
        <f>'ticket prices'!B10</f>
        <v>37</v>
      </c>
      <c r="E73" s="12">
        <f t="shared" si="4"/>
        <v>22.2</v>
      </c>
      <c r="F73" s="12">
        <f>IF('Pass&amp;CardChoice'!$B$35,D73-E73,IF('Pass&amp;CardChoice'!$B$36,IF(NOT(OR('Pass&amp;CardChoice'!$B$13,'Pass&amp;CardChoice'!$B$14,'Pass&amp;CardChoice'!$B$15)),D73,0),0))</f>
        <v>0</v>
      </c>
      <c r="G73" s="19"/>
      <c r="H73" s="1">
        <f t="shared" si="22"/>
        <v>0</v>
      </c>
      <c r="I73" s="1">
        <f t="shared" si="19"/>
        <v>0</v>
      </c>
      <c r="J73" s="1">
        <f t="shared" si="20"/>
        <v>0</v>
      </c>
      <c r="K73" s="12">
        <f t="shared" si="21"/>
        <v>0</v>
      </c>
    </row>
    <row r="74" spans="2:11" ht="12.75">
      <c r="B74" t="s">
        <v>30</v>
      </c>
      <c r="C74" s="2"/>
      <c r="D74" s="12">
        <f>D73</f>
        <v>37</v>
      </c>
      <c r="E74" s="12">
        <f t="shared" si="4"/>
        <v>22.2</v>
      </c>
      <c r="F74" s="12">
        <f>IF('Pass&amp;CardChoice'!$B$35,D74-E74,IF('Pass&amp;CardChoice'!$B$36,IF(NOT(OR('Pass&amp;CardChoice'!$B$13,'Pass&amp;CardChoice'!$B$14,'Pass&amp;CardChoice'!$B$15)),D74,0),0))</f>
        <v>0</v>
      </c>
      <c r="G74" s="19"/>
      <c r="H74" s="1">
        <f t="shared" si="22"/>
        <v>0</v>
      </c>
      <c r="I74" s="1">
        <f t="shared" si="19"/>
        <v>0</v>
      </c>
      <c r="J74" s="1">
        <f t="shared" si="20"/>
        <v>0</v>
      </c>
      <c r="K74" s="12">
        <f t="shared" si="21"/>
        <v>0</v>
      </c>
    </row>
    <row r="75" spans="2:11" ht="12.75">
      <c r="B75" t="s">
        <v>31</v>
      </c>
      <c r="C75" s="2"/>
      <c r="D75" s="12">
        <f>D74</f>
        <v>37</v>
      </c>
      <c r="E75" s="12">
        <f t="shared" si="4"/>
        <v>22.2</v>
      </c>
      <c r="F75" s="12">
        <f>IF('Pass&amp;CardChoice'!$B$35,D75-E75,IF('Pass&amp;CardChoice'!$B$36,IF(NOT(OR('Pass&amp;CardChoice'!$B$13,'Pass&amp;CardChoice'!$B$14,'Pass&amp;CardChoice'!$B$15)),D75,0),0))</f>
        <v>0</v>
      </c>
      <c r="G75" s="19"/>
      <c r="H75" s="1">
        <f t="shared" si="22"/>
        <v>0</v>
      </c>
      <c r="I75" s="1">
        <f t="shared" si="19"/>
        <v>0</v>
      </c>
      <c r="J75" s="1">
        <f t="shared" si="20"/>
        <v>0</v>
      </c>
      <c r="K75" s="12">
        <f t="shared" si="21"/>
        <v>0</v>
      </c>
    </row>
    <row r="76" spans="2:11" ht="12.75">
      <c r="B76" t="s">
        <v>191</v>
      </c>
      <c r="C76" s="2"/>
      <c r="D76" s="12">
        <f>D72/2</f>
        <v>21.5</v>
      </c>
      <c r="E76" s="12">
        <f>D76</f>
        <v>21.5</v>
      </c>
      <c r="F76" s="12">
        <f>IF('Pass&amp;CardChoice'!$B$35,D76-E76,IF('Pass&amp;CardChoice'!$B$36,IF(NOT(OR('Pass&amp;CardChoice'!$B$14,'Pass&amp;CardChoice'!$B$15)),D76,0),0))</f>
        <v>0</v>
      </c>
      <c r="G76" s="19"/>
      <c r="H76" s="1">
        <f t="shared" si="22"/>
        <v>0</v>
      </c>
      <c r="I76" s="1">
        <f t="shared" si="19"/>
        <v>0</v>
      </c>
      <c r="J76" s="1">
        <f>H76-I76</f>
        <v>0</v>
      </c>
      <c r="K76" s="12">
        <f>(C76*F76)+(G76*D76)+(C76*J76)+(G76*H76)</f>
        <v>0</v>
      </c>
    </row>
    <row r="77" spans="2:11" ht="12.75">
      <c r="B77" t="s">
        <v>163</v>
      </c>
      <c r="C77" s="2"/>
      <c r="D77" s="12">
        <f>D69</f>
        <v>43</v>
      </c>
      <c r="E77" s="12">
        <v>27</v>
      </c>
      <c r="F77" s="12">
        <f>IF('Pass&amp;CardChoice'!$B$7,D77-E77,0)</f>
        <v>0</v>
      </c>
      <c r="G77" s="45"/>
      <c r="H77" s="45"/>
      <c r="I77" s="45"/>
      <c r="J77" s="45"/>
      <c r="K77" s="12">
        <v>0</v>
      </c>
    </row>
    <row r="78" spans="2:11" ht="12.75">
      <c r="B78" t="s">
        <v>164</v>
      </c>
      <c r="C78" s="2"/>
      <c r="D78" s="12">
        <f>D73</f>
        <v>37</v>
      </c>
      <c r="E78" s="12">
        <v>23.4</v>
      </c>
      <c r="F78" s="12">
        <f>IF('Pass&amp;CardChoice'!$B$7,D78-E78,0)</f>
        <v>0</v>
      </c>
      <c r="G78" s="45"/>
      <c r="H78" s="45"/>
      <c r="I78" s="45"/>
      <c r="J78" s="45"/>
      <c r="K78" s="12">
        <v>0</v>
      </c>
    </row>
    <row r="79" spans="1:11" ht="12.75">
      <c r="A79" t="s">
        <v>8</v>
      </c>
      <c r="D79" s="12"/>
      <c r="E79" s="12"/>
      <c r="K79" s="12"/>
    </row>
    <row r="80" spans="2:11" ht="12.75">
      <c r="B80" t="s">
        <v>27</v>
      </c>
      <c r="C80" s="2"/>
      <c r="D80" s="12">
        <f>'ticket prices'!B5</f>
        <v>38</v>
      </c>
      <c r="E80" s="12">
        <f t="shared" si="4"/>
        <v>22.8</v>
      </c>
      <c r="F80" s="12">
        <f>IF('Pass&amp;CardChoice'!$B$35,D80-E80,IF('Pass&amp;CardChoice'!$B$36,IF(NOT(OR('Pass&amp;CardChoice'!$B$13,'Pass&amp;CardChoice'!$B$14,'Pass&amp;CardChoice'!$B$15)),D80,0),0))</f>
        <v>0</v>
      </c>
      <c r="G80" s="19"/>
      <c r="H80" s="1">
        <f>CHOOSE('Rental type'!A5,'ticket prices'!B16,'ticket prices'!B23,0)</f>
        <v>0</v>
      </c>
      <c r="I80" s="1">
        <f t="shared" si="19"/>
        <v>0</v>
      </c>
      <c r="J80" s="1">
        <f aca="true" t="shared" si="23" ref="J80:J86">H80-I80</f>
        <v>0</v>
      </c>
      <c r="K80" s="12">
        <f aca="true" t="shared" si="24" ref="K80:K86">(C80*F80)+(G80*D80)+(C80*J80)+(G80*H80)</f>
        <v>0</v>
      </c>
    </row>
    <row r="81" spans="2:11" ht="12.75">
      <c r="B81" t="s">
        <v>28</v>
      </c>
      <c r="C81" s="2"/>
      <c r="D81" s="12">
        <f>D80</f>
        <v>38</v>
      </c>
      <c r="E81" s="12">
        <f t="shared" si="4"/>
        <v>22.8</v>
      </c>
      <c r="F81" s="12">
        <f>IF('Pass&amp;CardChoice'!$B$35,D81-E81,IF('Pass&amp;CardChoice'!$B$36,IF(NOT(OR('Pass&amp;CardChoice'!$B$13,'Pass&amp;CardChoice'!$B$14,'Pass&amp;CardChoice'!$B$15)),D81,0),0))</f>
        <v>0</v>
      </c>
      <c r="G81" s="19"/>
      <c r="H81" s="1">
        <f>H80</f>
        <v>0</v>
      </c>
      <c r="I81" s="1">
        <f t="shared" si="19"/>
        <v>0</v>
      </c>
      <c r="J81" s="1">
        <f t="shared" si="23"/>
        <v>0</v>
      </c>
      <c r="K81" s="12">
        <f t="shared" si="24"/>
        <v>0</v>
      </c>
    </row>
    <row r="82" spans="2:11" ht="12.75">
      <c r="B82" t="s">
        <v>43</v>
      </c>
      <c r="C82" s="2"/>
      <c r="D82" s="12">
        <f>D81</f>
        <v>38</v>
      </c>
      <c r="E82" s="12">
        <f t="shared" si="4"/>
        <v>22.8</v>
      </c>
      <c r="F82" s="12">
        <f>IF('Pass&amp;CardChoice'!$B$35,D82-E82,IF('Pass&amp;CardChoice'!$B$36,IF(NOT(OR('Pass&amp;CardChoice'!$B$13,'Pass&amp;CardChoice'!$B$14,'Pass&amp;CardChoice'!$B$15)),D82,0),0))</f>
        <v>0</v>
      </c>
      <c r="G82" s="19"/>
      <c r="H82" s="1">
        <f aca="true" t="shared" si="25" ref="H82:H87">H81</f>
        <v>0</v>
      </c>
      <c r="I82" s="1">
        <f t="shared" si="19"/>
        <v>0</v>
      </c>
      <c r="J82" s="1">
        <f>H82-I82</f>
        <v>0</v>
      </c>
      <c r="K82" s="12">
        <f t="shared" si="24"/>
        <v>0</v>
      </c>
    </row>
    <row r="83" spans="2:11" ht="12.75">
      <c r="B83" t="s">
        <v>44</v>
      </c>
      <c r="C83" s="2"/>
      <c r="D83" s="12">
        <f>D82</f>
        <v>38</v>
      </c>
      <c r="E83" s="12">
        <f t="shared" si="4"/>
        <v>22.8</v>
      </c>
      <c r="F83" s="12">
        <f>IF('Pass&amp;CardChoice'!$B$35,D83-E83,IF('Pass&amp;CardChoice'!$B$36,IF(NOT(OR('Pass&amp;CardChoice'!$B$13,'Pass&amp;CardChoice'!$B$14,'Pass&amp;CardChoice'!$B$15)),D83,0),0))</f>
        <v>0</v>
      </c>
      <c r="G83" s="19"/>
      <c r="H83" s="1">
        <f t="shared" si="25"/>
        <v>0</v>
      </c>
      <c r="I83" s="1">
        <f t="shared" si="19"/>
        <v>0</v>
      </c>
      <c r="J83" s="1">
        <f>H83-I83</f>
        <v>0</v>
      </c>
      <c r="K83" s="12">
        <f t="shared" si="24"/>
        <v>0</v>
      </c>
    </row>
    <row r="84" spans="2:11" ht="12.75">
      <c r="B84" t="s">
        <v>29</v>
      </c>
      <c r="C84" s="2"/>
      <c r="D84" s="12">
        <f>'ticket prices'!B9</f>
        <v>33</v>
      </c>
      <c r="E84" s="12">
        <f t="shared" si="4"/>
        <v>19.8</v>
      </c>
      <c r="F84" s="12">
        <f>IF('Pass&amp;CardChoice'!$B$35,D84-E84,IF('Pass&amp;CardChoice'!$B$36,IF(NOT(OR('Pass&amp;CardChoice'!$B$13,'Pass&amp;CardChoice'!$B$14,'Pass&amp;CardChoice'!$B$15)),D84,0),0))</f>
        <v>0</v>
      </c>
      <c r="G84" s="19"/>
      <c r="H84" s="1">
        <f t="shared" si="25"/>
        <v>0</v>
      </c>
      <c r="I84" s="1">
        <f t="shared" si="19"/>
        <v>0</v>
      </c>
      <c r="J84" s="1">
        <f t="shared" si="23"/>
        <v>0</v>
      </c>
      <c r="K84" s="12">
        <f t="shared" si="24"/>
        <v>0</v>
      </c>
    </row>
    <row r="85" spans="2:11" ht="12.75">
      <c r="B85" t="s">
        <v>30</v>
      </c>
      <c r="C85" s="2"/>
      <c r="D85" s="12">
        <f>D84</f>
        <v>33</v>
      </c>
      <c r="E85" s="12">
        <f t="shared" si="4"/>
        <v>19.8</v>
      </c>
      <c r="F85" s="12">
        <f>IF('Pass&amp;CardChoice'!$B$35,D85-E85,IF('Pass&amp;CardChoice'!$B$36,IF(NOT(OR('Pass&amp;CardChoice'!$B$13,'Pass&amp;CardChoice'!$B$14,'Pass&amp;CardChoice'!$B$15)),D85,0),0))</f>
        <v>0</v>
      </c>
      <c r="G85" s="19"/>
      <c r="H85" s="1">
        <f t="shared" si="25"/>
        <v>0</v>
      </c>
      <c r="I85" s="1">
        <f t="shared" si="19"/>
        <v>0</v>
      </c>
      <c r="J85" s="1">
        <f t="shared" si="23"/>
        <v>0</v>
      </c>
      <c r="K85" s="12">
        <f t="shared" si="24"/>
        <v>0</v>
      </c>
    </row>
    <row r="86" spans="2:11" ht="12.75">
      <c r="B86" t="s">
        <v>31</v>
      </c>
      <c r="C86" s="2"/>
      <c r="D86" s="12">
        <f>D85</f>
        <v>33</v>
      </c>
      <c r="E86" s="12">
        <f t="shared" si="4"/>
        <v>19.8</v>
      </c>
      <c r="F86" s="12">
        <f>IF('Pass&amp;CardChoice'!$B$35,D86-E86,IF('Pass&amp;CardChoice'!$B$36,IF(NOT(OR('Pass&amp;CardChoice'!$B$13,'Pass&amp;CardChoice'!$B$14,'Pass&amp;CardChoice'!$B$15)),D86,0),0))</f>
        <v>0</v>
      </c>
      <c r="G86" s="19"/>
      <c r="H86" s="1">
        <f t="shared" si="25"/>
        <v>0</v>
      </c>
      <c r="I86" s="1">
        <f t="shared" si="19"/>
        <v>0</v>
      </c>
      <c r="J86" s="1">
        <f t="shared" si="23"/>
        <v>0</v>
      </c>
      <c r="K86" s="12">
        <f t="shared" si="24"/>
        <v>0</v>
      </c>
    </row>
    <row r="87" spans="2:11" ht="12.75">
      <c r="B87" t="s">
        <v>191</v>
      </c>
      <c r="C87" s="2"/>
      <c r="D87" s="12">
        <f>D83/2</f>
        <v>19</v>
      </c>
      <c r="E87" s="12">
        <f>D87</f>
        <v>19</v>
      </c>
      <c r="F87" s="12">
        <f>IF('Pass&amp;CardChoice'!$B$35,D87-E87,IF('Pass&amp;CardChoice'!$B$36,IF(NOT(OR('Pass&amp;CardChoice'!$B$14,'Pass&amp;CardChoice'!$B$15)),D87,0),0))</f>
        <v>0</v>
      </c>
      <c r="G87" s="19"/>
      <c r="H87" s="1">
        <f t="shared" si="25"/>
        <v>0</v>
      </c>
      <c r="I87" s="1">
        <f t="shared" si="19"/>
        <v>0</v>
      </c>
      <c r="J87" s="1">
        <f>H87-I87</f>
        <v>0</v>
      </c>
      <c r="K87" s="12">
        <f>(C87*F87)+(G87*D87)+(C87*J87)+(G87*H87)</f>
        <v>0</v>
      </c>
    </row>
    <row r="88" spans="2:11" ht="12.75">
      <c r="B88" t="s">
        <v>163</v>
      </c>
      <c r="C88" s="2"/>
      <c r="D88" s="12">
        <f>D80</f>
        <v>38</v>
      </c>
      <c r="E88" s="12">
        <v>27</v>
      </c>
      <c r="F88" s="12">
        <f>IF('Pass&amp;CardChoice'!$B$7,D88-E88,0)</f>
        <v>0</v>
      </c>
      <c r="G88" s="45"/>
      <c r="H88" s="45"/>
      <c r="I88" s="45"/>
      <c r="J88" s="45"/>
      <c r="K88" s="12">
        <v>0</v>
      </c>
    </row>
    <row r="89" spans="2:11" ht="12.75">
      <c r="B89" t="s">
        <v>164</v>
      </c>
      <c r="C89" s="2"/>
      <c r="D89" s="12">
        <f>D84</f>
        <v>33</v>
      </c>
      <c r="E89" s="12">
        <v>23.4</v>
      </c>
      <c r="F89" s="12">
        <f>IF('Pass&amp;CardChoice'!$B$7,D89-E89,0)</f>
        <v>0</v>
      </c>
      <c r="G89" s="45"/>
      <c r="H89" s="45"/>
      <c r="I89" s="45"/>
      <c r="J89" s="45"/>
      <c r="K89" s="12">
        <v>0</v>
      </c>
    </row>
    <row r="90" spans="1:11" ht="12.75">
      <c r="A90" t="s">
        <v>15</v>
      </c>
      <c r="C90" s="2"/>
      <c r="D90" s="12">
        <f>'ticket prices'!B27</f>
        <v>30</v>
      </c>
      <c r="E90" s="12">
        <f>0.6*D90</f>
        <v>18</v>
      </c>
      <c r="F90" s="12">
        <f>IF('Pass&amp;CardChoice'!$B$35,D90-E90,IF('Pass&amp;CardChoice'!$B$36,0.5*D90,0))</f>
        <v>0</v>
      </c>
      <c r="K90" s="12">
        <f>(C90*F90)</f>
        <v>0</v>
      </c>
    </row>
    <row r="91" spans="4:11" ht="12.75">
      <c r="D91" s="12"/>
      <c r="E91" s="12"/>
      <c r="K91" s="17">
        <f>SUM(K14:K90)</f>
        <v>0</v>
      </c>
    </row>
    <row r="92" spans="4:11" ht="24.75" customHeight="1">
      <c r="D92" s="12"/>
      <c r="E92" s="12"/>
      <c r="K92" s="1" t="s">
        <v>22</v>
      </c>
    </row>
    <row r="93" spans="1:11" s="5" customFormat="1" ht="12.75">
      <c r="A93" s="10" t="s">
        <v>11</v>
      </c>
      <c r="D93" s="13"/>
      <c r="E93" s="13"/>
      <c r="F93" s="13"/>
      <c r="G93" s="6"/>
      <c r="H93" s="6"/>
      <c r="I93" s="6"/>
      <c r="J93" s="6"/>
      <c r="K93" s="13"/>
    </row>
    <row r="94" spans="3:11" ht="38.25">
      <c r="C94" s="1"/>
      <c r="D94" s="1" t="s">
        <v>26</v>
      </c>
      <c r="E94" s="14" t="s">
        <v>6</v>
      </c>
      <c r="F94" s="12" t="s">
        <v>0</v>
      </c>
      <c r="H94" s="1" t="s">
        <v>48</v>
      </c>
      <c r="I94" s="1" t="s">
        <v>25</v>
      </c>
      <c r="J94" s="1" t="s">
        <v>49</v>
      </c>
      <c r="K94" s="1" t="s">
        <v>32</v>
      </c>
    </row>
    <row r="95" spans="1:11" ht="12.75">
      <c r="A95" t="s">
        <v>12</v>
      </c>
      <c r="D95" s="12"/>
      <c r="E95" s="12"/>
      <c r="K95" s="12"/>
    </row>
    <row r="96" spans="2:11" ht="12.75">
      <c r="B96" t="s">
        <v>27</v>
      </c>
      <c r="C96" s="2"/>
      <c r="D96" s="12">
        <f>'ticket prices'!F7</f>
        <v>55</v>
      </c>
      <c r="E96" s="12">
        <f>0.6*D96</f>
        <v>33</v>
      </c>
      <c r="F96" s="12">
        <f>IF('Pass&amp;CardChoice'!$B$35,D96-E96,IF('Pass&amp;CardChoice'!$B$36,IF(NOT(OR('Pass&amp;CardChoice'!$B$12,'Pass&amp;CardChoice'!$B$13,'Pass&amp;CardChoice'!$B$14,'Pass&amp;CardChoice'!$B$15)),D96,0),0))</f>
        <v>0</v>
      </c>
      <c r="G96" s="19"/>
      <c r="H96" s="1">
        <f>CHOOSE('Rental type'!A5,'ticket prices'!E18,'ticket prices'!E25,0)</f>
        <v>0</v>
      </c>
      <c r="I96" s="1">
        <f aca="true" t="shared" si="26" ref="I96:I131">0.6*H96</f>
        <v>0</v>
      </c>
      <c r="J96" s="1">
        <f aca="true" t="shared" si="27" ref="J96:J102">H96-I96</f>
        <v>0</v>
      </c>
      <c r="K96" s="12">
        <f>(C96*F96)+(G96*D96)+(C96*J96)+(G96*H96)</f>
        <v>0</v>
      </c>
    </row>
    <row r="97" spans="2:11" ht="12.75">
      <c r="B97" t="s">
        <v>28</v>
      </c>
      <c r="C97" s="2"/>
      <c r="D97" s="12">
        <f>D96</f>
        <v>55</v>
      </c>
      <c r="E97" s="12">
        <f>0.6*D97</f>
        <v>33</v>
      </c>
      <c r="F97" s="12">
        <f>IF('Pass&amp;CardChoice'!$B$35,D97-E97,IF('Pass&amp;CardChoice'!$B$36,IF(NOT(OR('Pass&amp;CardChoice'!$B$12,'Pass&amp;CardChoice'!$B$13,'Pass&amp;CardChoice'!$B$14,'Pass&amp;CardChoice'!$B$15)),D97,0),0))</f>
        <v>0</v>
      </c>
      <c r="G97" s="19"/>
      <c r="H97" s="1">
        <f>H96</f>
        <v>0</v>
      </c>
      <c r="I97" s="1">
        <f t="shared" si="26"/>
        <v>0</v>
      </c>
      <c r="J97" s="1">
        <f t="shared" si="27"/>
        <v>0</v>
      </c>
      <c r="K97" s="12">
        <f aca="true" t="shared" si="28" ref="K97:K102">(C97*F97)+(G97*D97)+(C97*J97)+(G97*H97)</f>
        <v>0</v>
      </c>
    </row>
    <row r="98" spans="2:11" ht="12.75">
      <c r="B98" t="s">
        <v>43</v>
      </c>
      <c r="C98" s="2"/>
      <c r="D98" s="12">
        <f>D97</f>
        <v>55</v>
      </c>
      <c r="E98" s="12">
        <f>0.6*D98</f>
        <v>33</v>
      </c>
      <c r="F98" s="12">
        <f>IF('Pass&amp;CardChoice'!$B$35,D98-E98,IF('Pass&amp;CardChoice'!$B$36,IF(NOT(OR('Pass&amp;CardChoice'!$B$12,'Pass&amp;CardChoice'!$B$13,'Pass&amp;CardChoice'!$B$14,'Pass&amp;CardChoice'!$B$15)),D98,0),0))</f>
        <v>0</v>
      </c>
      <c r="G98" s="19"/>
      <c r="H98" s="1">
        <f aca="true" t="shared" si="29" ref="H98:H103">H97</f>
        <v>0</v>
      </c>
      <c r="I98" s="1">
        <f t="shared" si="26"/>
        <v>0</v>
      </c>
      <c r="J98" s="1">
        <f>H98-I98</f>
        <v>0</v>
      </c>
      <c r="K98" s="12">
        <f t="shared" si="28"/>
        <v>0</v>
      </c>
    </row>
    <row r="99" spans="2:11" ht="12.75">
      <c r="B99" t="s">
        <v>44</v>
      </c>
      <c r="C99" s="2"/>
      <c r="D99" s="12">
        <f>D98</f>
        <v>55</v>
      </c>
      <c r="E99" s="12">
        <f>0.6*D99</f>
        <v>33</v>
      </c>
      <c r="F99" s="12">
        <f>IF('Pass&amp;CardChoice'!$B$35,D99-E99,IF('Pass&amp;CardChoice'!$B$36,IF(NOT(OR('Pass&amp;CardChoice'!$B$12,'Pass&amp;CardChoice'!$B$13,'Pass&amp;CardChoice'!$B$14,'Pass&amp;CardChoice'!$B$15)),D99,0),0))</f>
        <v>0</v>
      </c>
      <c r="G99" s="19"/>
      <c r="H99" s="1">
        <f t="shared" si="29"/>
        <v>0</v>
      </c>
      <c r="I99" s="1">
        <f t="shared" si="26"/>
        <v>0</v>
      </c>
      <c r="J99" s="1">
        <f>H99-I99</f>
        <v>0</v>
      </c>
      <c r="K99" s="12">
        <f t="shared" si="28"/>
        <v>0</v>
      </c>
    </row>
    <row r="100" spans="2:11" ht="12.75">
      <c r="B100" t="s">
        <v>29</v>
      </c>
      <c r="C100" s="2"/>
      <c r="D100" s="12">
        <f>'ticket prices'!F10</f>
        <v>45</v>
      </c>
      <c r="E100" s="12">
        <f aca="true" t="shared" si="30" ref="E100:E173">0.6*D100</f>
        <v>27</v>
      </c>
      <c r="F100" s="12">
        <f>IF('Pass&amp;CardChoice'!$B$35,D100-E100,IF('Pass&amp;CardChoice'!$B$36,IF(NOT(OR('Pass&amp;CardChoice'!$B$12,'Pass&amp;CardChoice'!$B$13,'Pass&amp;CardChoice'!$B$14,'Pass&amp;CardChoice'!$B$15)),D100,0),0))</f>
        <v>0</v>
      </c>
      <c r="G100" s="19"/>
      <c r="H100" s="1">
        <f t="shared" si="29"/>
        <v>0</v>
      </c>
      <c r="I100" s="1">
        <f t="shared" si="26"/>
        <v>0</v>
      </c>
      <c r="J100" s="1">
        <f t="shared" si="27"/>
        <v>0</v>
      </c>
      <c r="K100" s="12">
        <f t="shared" si="28"/>
        <v>0</v>
      </c>
    </row>
    <row r="101" spans="2:11" ht="12.75">
      <c r="B101" t="s">
        <v>30</v>
      </c>
      <c r="C101" s="2"/>
      <c r="D101" s="12">
        <f>D100</f>
        <v>45</v>
      </c>
      <c r="E101" s="12">
        <f t="shared" si="30"/>
        <v>27</v>
      </c>
      <c r="F101" s="12">
        <f>IF('Pass&amp;CardChoice'!$B$35,D101-E101,IF('Pass&amp;CardChoice'!$B$36,IF(NOT(OR('Pass&amp;CardChoice'!$B$12,'Pass&amp;CardChoice'!$B$13,'Pass&amp;CardChoice'!$B$14,'Pass&amp;CardChoice'!$B$15)),D101,0),0))</f>
        <v>0</v>
      </c>
      <c r="G101" s="19"/>
      <c r="H101" s="1">
        <f t="shared" si="29"/>
        <v>0</v>
      </c>
      <c r="I101" s="1">
        <f t="shared" si="26"/>
        <v>0</v>
      </c>
      <c r="J101" s="1">
        <f t="shared" si="27"/>
        <v>0</v>
      </c>
      <c r="K101" s="12">
        <f t="shared" si="28"/>
        <v>0</v>
      </c>
    </row>
    <row r="102" spans="2:11" ht="12.75">
      <c r="B102" t="s">
        <v>31</v>
      </c>
      <c r="C102" s="2"/>
      <c r="D102" s="12">
        <f>D101</f>
        <v>45</v>
      </c>
      <c r="E102" s="12">
        <f t="shared" si="30"/>
        <v>27</v>
      </c>
      <c r="F102" s="12">
        <f>IF('Pass&amp;CardChoice'!$B$35,D102-E102,IF('Pass&amp;CardChoice'!$B$36,IF(NOT(OR('Pass&amp;CardChoice'!$B$12,'Pass&amp;CardChoice'!$B$13,'Pass&amp;CardChoice'!$B$14,'Pass&amp;CardChoice'!$B$15)),D102,0),0))</f>
        <v>0</v>
      </c>
      <c r="G102" s="19"/>
      <c r="H102" s="1">
        <f t="shared" si="29"/>
        <v>0</v>
      </c>
      <c r="I102" s="1">
        <f t="shared" si="26"/>
        <v>0</v>
      </c>
      <c r="J102" s="1">
        <f t="shared" si="27"/>
        <v>0</v>
      </c>
      <c r="K102" s="12">
        <f t="shared" si="28"/>
        <v>0</v>
      </c>
    </row>
    <row r="103" spans="2:11" ht="12.75">
      <c r="B103" t="s">
        <v>191</v>
      </c>
      <c r="C103" s="2"/>
      <c r="D103" s="12">
        <f>D96</f>
        <v>55</v>
      </c>
      <c r="E103" s="12">
        <f t="shared" si="30"/>
        <v>33</v>
      </c>
      <c r="F103" s="12">
        <f>IF('Pass&amp;CardChoice'!$B$35,D103-E103,IF('Pass&amp;CardChoice'!$B$36,IF(NOT(OR('Pass&amp;CardChoice'!$B$12,'Pass&amp;CardChoice'!$B$13,'Pass&amp;CardChoice'!$B$14,'Pass&amp;CardChoice'!$B$15)),D103,0),0))</f>
        <v>0</v>
      </c>
      <c r="G103" s="19"/>
      <c r="H103" s="1">
        <f t="shared" si="29"/>
        <v>0</v>
      </c>
      <c r="I103" s="1">
        <f t="shared" si="26"/>
        <v>0</v>
      </c>
      <c r="J103" s="1">
        <f>H103-I103</f>
        <v>0</v>
      </c>
      <c r="K103" s="12">
        <f>(C103*F103)+(G103*D103)+(C103*J103)+(G103*H103)</f>
        <v>0</v>
      </c>
    </row>
    <row r="104" spans="2:11" ht="12.75">
      <c r="B104" t="s">
        <v>163</v>
      </c>
      <c r="C104" s="2"/>
      <c r="D104" s="12">
        <f>D96</f>
        <v>55</v>
      </c>
      <c r="E104" s="12">
        <v>27</v>
      </c>
      <c r="F104" s="12">
        <f>IF('Pass&amp;CardChoice'!$B$7,D104-E104,0)</f>
        <v>0</v>
      </c>
      <c r="G104" s="45"/>
      <c r="H104" s="45"/>
      <c r="I104" s="45"/>
      <c r="J104" s="45"/>
      <c r="K104" s="12">
        <v>0</v>
      </c>
    </row>
    <row r="105" spans="2:11" ht="12.75">
      <c r="B105" t="s">
        <v>164</v>
      </c>
      <c r="C105" s="2"/>
      <c r="D105" s="12">
        <f>D100</f>
        <v>45</v>
      </c>
      <c r="E105" s="12">
        <v>23.4</v>
      </c>
      <c r="F105" s="12">
        <f>IF('Pass&amp;CardChoice'!$B$7,D105-E105,0)</f>
        <v>0</v>
      </c>
      <c r="G105" s="45"/>
      <c r="H105" s="45"/>
      <c r="I105" s="45"/>
      <c r="J105" s="45"/>
      <c r="K105" s="12">
        <v>0</v>
      </c>
    </row>
    <row r="106" spans="1:11" ht="12.75">
      <c r="A106" t="s">
        <v>3</v>
      </c>
      <c r="D106" s="12"/>
      <c r="E106" s="12"/>
      <c r="K106" s="12"/>
    </row>
    <row r="107" spans="2:11" ht="12.75">
      <c r="B107" t="s">
        <v>27</v>
      </c>
      <c r="C107" s="2"/>
      <c r="D107" s="12">
        <f>'ticket prices'!F6</f>
        <v>50</v>
      </c>
      <c r="E107" s="12">
        <f t="shared" si="30"/>
        <v>30</v>
      </c>
      <c r="F107" s="12">
        <f>IF('Pass&amp;CardChoice'!$B$35,D107-E107,IF('Pass&amp;CardChoice'!$B$36,IF(NOT(OR('Pass&amp;CardChoice'!$B$12,'Pass&amp;CardChoice'!$B$13,'Pass&amp;CardChoice'!$B$14,'Pass&amp;CardChoice'!$B$15)),D107,0),0))</f>
        <v>0</v>
      </c>
      <c r="G107" s="19"/>
      <c r="H107" s="1">
        <f>CHOOSE('Rental type'!A5,'ticket prices'!E17,'ticket prices'!E24,0)</f>
        <v>0</v>
      </c>
      <c r="I107" s="1">
        <f t="shared" si="26"/>
        <v>0</v>
      </c>
      <c r="J107" s="1">
        <f aca="true" t="shared" si="31" ref="J107:J113">H107-I107</f>
        <v>0</v>
      </c>
      <c r="K107" s="12">
        <f aca="true" t="shared" si="32" ref="K107:K113">(C107*F107)+(G107*D107)+(C107*J107)+(G107*H107)</f>
        <v>0</v>
      </c>
    </row>
    <row r="108" spans="2:11" ht="12.75">
      <c r="B108" t="s">
        <v>28</v>
      </c>
      <c r="C108" s="2"/>
      <c r="D108" s="12">
        <f>D107</f>
        <v>50</v>
      </c>
      <c r="E108" s="12">
        <f t="shared" si="30"/>
        <v>30</v>
      </c>
      <c r="F108" s="12">
        <f>IF('Pass&amp;CardChoice'!$B$35,D108-E108,IF('Pass&amp;CardChoice'!$B$36,IF(NOT(OR('Pass&amp;CardChoice'!$B$12,'Pass&amp;CardChoice'!$B$13,'Pass&amp;CardChoice'!$B$14,'Pass&amp;CardChoice'!$B$15)),D108,0),0))</f>
        <v>0</v>
      </c>
      <c r="G108" s="19"/>
      <c r="H108" s="1">
        <f>H107</f>
        <v>0</v>
      </c>
      <c r="I108" s="1">
        <f t="shared" si="26"/>
        <v>0</v>
      </c>
      <c r="J108" s="1">
        <f t="shared" si="31"/>
        <v>0</v>
      </c>
      <c r="K108" s="12">
        <f t="shared" si="32"/>
        <v>0</v>
      </c>
    </row>
    <row r="109" spans="2:11" ht="12.75">
      <c r="B109" t="s">
        <v>43</v>
      </c>
      <c r="C109" s="2"/>
      <c r="D109" s="12">
        <f>D108</f>
        <v>50</v>
      </c>
      <c r="E109" s="12">
        <f t="shared" si="30"/>
        <v>30</v>
      </c>
      <c r="F109" s="12">
        <f>IF('Pass&amp;CardChoice'!$B$35,D109-E109,IF('Pass&amp;CardChoice'!$B$36,IF(NOT(OR('Pass&amp;CardChoice'!$B$12,'Pass&amp;CardChoice'!$B$13,'Pass&amp;CardChoice'!$B$14,'Pass&amp;CardChoice'!$B$15)),D109,0),0))</f>
        <v>0</v>
      </c>
      <c r="G109" s="19"/>
      <c r="H109" s="1">
        <f aca="true" t="shared" si="33" ref="H109:H114">H108</f>
        <v>0</v>
      </c>
      <c r="I109" s="1">
        <f t="shared" si="26"/>
        <v>0</v>
      </c>
      <c r="J109" s="1">
        <f>H109-I109</f>
        <v>0</v>
      </c>
      <c r="K109" s="12">
        <f t="shared" si="32"/>
        <v>0</v>
      </c>
    </row>
    <row r="110" spans="2:11" ht="12.75">
      <c r="B110" t="s">
        <v>44</v>
      </c>
      <c r="C110" s="2"/>
      <c r="D110" s="12">
        <f>D109</f>
        <v>50</v>
      </c>
      <c r="E110" s="12">
        <f t="shared" si="30"/>
        <v>30</v>
      </c>
      <c r="F110" s="12">
        <f>IF('Pass&amp;CardChoice'!$B$35,D110-E110,IF('Pass&amp;CardChoice'!$B$36,IF(NOT(OR('Pass&amp;CardChoice'!$B$12,'Pass&amp;CardChoice'!$B$13,'Pass&amp;CardChoice'!$B$14,'Pass&amp;CardChoice'!$B$15)),D110,0),0))</f>
        <v>0</v>
      </c>
      <c r="G110" s="19"/>
      <c r="H110" s="1">
        <f t="shared" si="33"/>
        <v>0</v>
      </c>
      <c r="I110" s="1">
        <f t="shared" si="26"/>
        <v>0</v>
      </c>
      <c r="J110" s="1">
        <f>H110-I110</f>
        <v>0</v>
      </c>
      <c r="K110" s="12">
        <f t="shared" si="32"/>
        <v>0</v>
      </c>
    </row>
    <row r="111" spans="2:11" ht="12.75">
      <c r="B111" t="s">
        <v>29</v>
      </c>
      <c r="C111" s="2"/>
      <c r="D111" s="12">
        <f>'ticket prices'!F10</f>
        <v>45</v>
      </c>
      <c r="E111" s="12">
        <f t="shared" si="30"/>
        <v>27</v>
      </c>
      <c r="F111" s="12">
        <f>IF('Pass&amp;CardChoice'!$B$35,D111-E111,IF('Pass&amp;CardChoice'!$B$36,IF(NOT(OR('Pass&amp;CardChoice'!$B$12,'Pass&amp;CardChoice'!$B$13,'Pass&amp;CardChoice'!$B$14,'Pass&amp;CardChoice'!$B$15)),D111,0),0))</f>
        <v>0</v>
      </c>
      <c r="G111" s="19"/>
      <c r="H111" s="1">
        <f t="shared" si="33"/>
        <v>0</v>
      </c>
      <c r="I111" s="1">
        <f t="shared" si="26"/>
        <v>0</v>
      </c>
      <c r="J111" s="1">
        <f t="shared" si="31"/>
        <v>0</v>
      </c>
      <c r="K111" s="12">
        <f t="shared" si="32"/>
        <v>0</v>
      </c>
    </row>
    <row r="112" spans="2:11" ht="12.75">
      <c r="B112" t="s">
        <v>30</v>
      </c>
      <c r="C112" s="2"/>
      <c r="D112" s="12">
        <f>D111</f>
        <v>45</v>
      </c>
      <c r="E112" s="12">
        <f t="shared" si="30"/>
        <v>27</v>
      </c>
      <c r="F112" s="12">
        <f>IF('Pass&amp;CardChoice'!$B$35,D112-E112,IF('Pass&amp;CardChoice'!$B$36,IF(NOT(OR('Pass&amp;CardChoice'!$B$12,'Pass&amp;CardChoice'!$B$13,'Pass&amp;CardChoice'!$B$14,'Pass&amp;CardChoice'!$B$15)),D112,0),0))</f>
        <v>0</v>
      </c>
      <c r="G112" s="19"/>
      <c r="H112" s="1">
        <f t="shared" si="33"/>
        <v>0</v>
      </c>
      <c r="I112" s="1">
        <f t="shared" si="26"/>
        <v>0</v>
      </c>
      <c r="J112" s="1">
        <f t="shared" si="31"/>
        <v>0</v>
      </c>
      <c r="K112" s="12">
        <f t="shared" si="32"/>
        <v>0</v>
      </c>
    </row>
    <row r="113" spans="2:11" ht="12.75">
      <c r="B113" t="s">
        <v>31</v>
      </c>
      <c r="C113" s="2"/>
      <c r="D113" s="12">
        <f>D112</f>
        <v>45</v>
      </c>
      <c r="E113" s="12">
        <f t="shared" si="30"/>
        <v>27</v>
      </c>
      <c r="F113" s="12">
        <f>IF('Pass&amp;CardChoice'!$B$35,D113-E113,IF('Pass&amp;CardChoice'!$B$36,IF(NOT(OR('Pass&amp;CardChoice'!$B$12,'Pass&amp;CardChoice'!$B$13,'Pass&amp;CardChoice'!$B$14,'Pass&amp;CardChoice'!$B$15)),D113,0),0))</f>
        <v>0</v>
      </c>
      <c r="G113" s="19"/>
      <c r="H113" s="1">
        <f t="shared" si="33"/>
        <v>0</v>
      </c>
      <c r="I113" s="1">
        <f t="shared" si="26"/>
        <v>0</v>
      </c>
      <c r="J113" s="1">
        <f t="shared" si="31"/>
        <v>0</v>
      </c>
      <c r="K113" s="12">
        <f t="shared" si="32"/>
        <v>0</v>
      </c>
    </row>
    <row r="114" spans="2:11" ht="12.75">
      <c r="B114" t="s">
        <v>191</v>
      </c>
      <c r="C114" s="2"/>
      <c r="D114" s="12">
        <f>D107</f>
        <v>50</v>
      </c>
      <c r="E114" s="12">
        <f t="shared" si="30"/>
        <v>30</v>
      </c>
      <c r="F114" s="12">
        <f>IF('Pass&amp;CardChoice'!$B$35,D114-E114,IF('Pass&amp;CardChoice'!$B$36,IF(NOT(OR('Pass&amp;CardChoice'!$B$12,'Pass&amp;CardChoice'!$B$13,'Pass&amp;CardChoice'!$B$14,'Pass&amp;CardChoice'!$B$15)),D114,0),0))</f>
        <v>0</v>
      </c>
      <c r="G114" s="19"/>
      <c r="H114" s="1">
        <f t="shared" si="33"/>
        <v>0</v>
      </c>
      <c r="I114" s="1">
        <f t="shared" si="26"/>
        <v>0</v>
      </c>
      <c r="J114" s="1">
        <f>H114-I114</f>
        <v>0</v>
      </c>
      <c r="K114" s="12">
        <f>(C114*F114)+(G114*D114)+(C114*J114)+(G114*H114)</f>
        <v>0</v>
      </c>
    </row>
    <row r="115" spans="2:11" ht="12.75">
      <c r="B115" t="s">
        <v>163</v>
      </c>
      <c r="C115" s="2"/>
      <c r="D115" s="12">
        <f>D107</f>
        <v>50</v>
      </c>
      <c r="E115" s="12">
        <v>27</v>
      </c>
      <c r="F115" s="12">
        <f>IF('Pass&amp;CardChoice'!$B$7,D115-E115,0)</f>
        <v>0</v>
      </c>
      <c r="G115" s="45"/>
      <c r="H115" s="45"/>
      <c r="I115" s="45"/>
      <c r="J115" s="45"/>
      <c r="K115" s="12">
        <v>0</v>
      </c>
    </row>
    <row r="116" spans="2:11" ht="12.75">
      <c r="B116" t="s">
        <v>164</v>
      </c>
      <c r="C116" s="2"/>
      <c r="D116" s="12">
        <f>D111</f>
        <v>45</v>
      </c>
      <c r="E116" s="12">
        <v>23.4</v>
      </c>
      <c r="F116" s="12">
        <f>IF('Pass&amp;CardChoice'!$B$7,D116-E116,0)</f>
        <v>0</v>
      </c>
      <c r="G116" s="45"/>
      <c r="H116" s="45"/>
      <c r="I116" s="45"/>
      <c r="J116" s="45"/>
      <c r="K116" s="12">
        <v>0</v>
      </c>
    </row>
    <row r="117" spans="1:11" ht="12.75">
      <c r="A117" t="s">
        <v>4</v>
      </c>
      <c r="D117" s="12"/>
      <c r="E117" s="12"/>
      <c r="K117" s="12"/>
    </row>
    <row r="118" spans="2:11" ht="12.75">
      <c r="B118" t="s">
        <v>27</v>
      </c>
      <c r="C118" s="2"/>
      <c r="D118" s="12">
        <f>'ticket prices'!F5</f>
        <v>45</v>
      </c>
      <c r="E118" s="12">
        <f t="shared" si="30"/>
        <v>27</v>
      </c>
      <c r="F118" s="12">
        <f>IF('Pass&amp;CardChoice'!$B$35,D118-E118,IF('Pass&amp;CardChoice'!$B$36,IF(NOT(OR('Pass&amp;CardChoice'!$B$12,'Pass&amp;CardChoice'!$B$13,'Pass&amp;CardChoice'!$B$14,'Pass&amp;CardChoice'!$B$15)),D118,0),0))</f>
        <v>0</v>
      </c>
      <c r="G118" s="19"/>
      <c r="H118" s="1">
        <f>CHOOSE('Rental type'!A5,'ticket prices'!E16,'ticket prices'!E23,0)</f>
        <v>0</v>
      </c>
      <c r="I118" s="1">
        <f t="shared" si="26"/>
        <v>0</v>
      </c>
      <c r="J118" s="1">
        <f aca="true" t="shared" si="34" ref="J118:J124">H118-I118</f>
        <v>0</v>
      </c>
      <c r="K118" s="12">
        <f aca="true" t="shared" si="35" ref="K118:K124">(C118*F118)+(G118*D118)+(C118*J118)+(G118*H118)</f>
        <v>0</v>
      </c>
    </row>
    <row r="119" spans="2:11" ht="12.75">
      <c r="B119" t="s">
        <v>28</v>
      </c>
      <c r="C119" s="2"/>
      <c r="D119" s="12">
        <f>D118</f>
        <v>45</v>
      </c>
      <c r="E119" s="12">
        <f t="shared" si="30"/>
        <v>27</v>
      </c>
      <c r="F119" s="12">
        <f>IF('Pass&amp;CardChoice'!$B$35,D119-E119,IF('Pass&amp;CardChoice'!$B$36,IF(NOT(OR('Pass&amp;CardChoice'!$B$12,'Pass&amp;CardChoice'!$B$13,'Pass&amp;CardChoice'!$B$14,'Pass&amp;CardChoice'!$B$15)),D119,0),0))</f>
        <v>0</v>
      </c>
      <c r="G119" s="19"/>
      <c r="H119" s="44">
        <f>H118</f>
        <v>0</v>
      </c>
      <c r="I119" s="1">
        <f t="shared" si="26"/>
        <v>0</v>
      </c>
      <c r="J119" s="1">
        <f t="shared" si="34"/>
        <v>0</v>
      </c>
      <c r="K119" s="12">
        <f t="shared" si="35"/>
        <v>0</v>
      </c>
    </row>
    <row r="120" spans="2:11" ht="12.75">
      <c r="B120" t="s">
        <v>43</v>
      </c>
      <c r="C120" s="2"/>
      <c r="D120" s="12">
        <f>D119</f>
        <v>45</v>
      </c>
      <c r="E120" s="12">
        <f t="shared" si="30"/>
        <v>27</v>
      </c>
      <c r="F120" s="12">
        <f>IF('Pass&amp;CardChoice'!$B$35,D120-E120,IF('Pass&amp;CardChoice'!$B$36,IF(NOT(OR('Pass&amp;CardChoice'!$B$12,'Pass&amp;CardChoice'!$B$13,'Pass&amp;CardChoice'!$B$14,'Pass&amp;CardChoice'!$B$15)),D120,0),0))</f>
        <v>0</v>
      </c>
      <c r="G120" s="19"/>
      <c r="H120" s="44">
        <f aca="true" t="shared" si="36" ref="H120:H125">H119</f>
        <v>0</v>
      </c>
      <c r="I120" s="1">
        <f t="shared" si="26"/>
        <v>0</v>
      </c>
      <c r="J120" s="1">
        <f>H120-I120</f>
        <v>0</v>
      </c>
      <c r="K120" s="12">
        <f t="shared" si="35"/>
        <v>0</v>
      </c>
    </row>
    <row r="121" spans="2:11" ht="12.75">
      <c r="B121" t="s">
        <v>44</v>
      </c>
      <c r="C121" s="2"/>
      <c r="D121" s="12">
        <f>D120</f>
        <v>45</v>
      </c>
      <c r="E121" s="12">
        <f t="shared" si="30"/>
        <v>27</v>
      </c>
      <c r="F121" s="12">
        <f>IF('Pass&amp;CardChoice'!$B$35,D121-E121,IF('Pass&amp;CardChoice'!$B$36,IF(NOT(OR('Pass&amp;CardChoice'!$B$12,'Pass&amp;CardChoice'!$B$13,'Pass&amp;CardChoice'!$B$14,'Pass&amp;CardChoice'!$B$15)),D121,0),0))</f>
        <v>0</v>
      </c>
      <c r="G121" s="19"/>
      <c r="H121" s="44">
        <f t="shared" si="36"/>
        <v>0</v>
      </c>
      <c r="I121" s="1">
        <f t="shared" si="26"/>
        <v>0</v>
      </c>
      <c r="J121" s="1">
        <f>H121-I121</f>
        <v>0</v>
      </c>
      <c r="K121" s="12">
        <f t="shared" si="35"/>
        <v>0</v>
      </c>
    </row>
    <row r="122" spans="2:11" ht="12.75">
      <c r="B122" t="s">
        <v>29</v>
      </c>
      <c r="C122" s="2"/>
      <c r="D122" s="12">
        <f>'ticket prices'!F9</f>
        <v>40</v>
      </c>
      <c r="E122" s="12">
        <f t="shared" si="30"/>
        <v>24</v>
      </c>
      <c r="F122" s="12">
        <f>IF('Pass&amp;CardChoice'!$B$35,D122-E122,IF('Pass&amp;CardChoice'!$B$36,IF(NOT(OR('Pass&amp;CardChoice'!$B$12,'Pass&amp;CardChoice'!$B$13,'Pass&amp;CardChoice'!$B$14,'Pass&amp;CardChoice'!$B$15)),D122,0),0))</f>
        <v>0</v>
      </c>
      <c r="G122" s="19"/>
      <c r="H122" s="44">
        <f t="shared" si="36"/>
        <v>0</v>
      </c>
      <c r="I122" s="1">
        <f t="shared" si="26"/>
        <v>0</v>
      </c>
      <c r="J122" s="1">
        <f t="shared" si="34"/>
        <v>0</v>
      </c>
      <c r="K122" s="12">
        <f t="shared" si="35"/>
        <v>0</v>
      </c>
    </row>
    <row r="123" spans="2:11" ht="12.75">
      <c r="B123" t="s">
        <v>30</v>
      </c>
      <c r="C123" s="2"/>
      <c r="D123" s="12">
        <f>D122</f>
        <v>40</v>
      </c>
      <c r="E123" s="12">
        <f t="shared" si="30"/>
        <v>24</v>
      </c>
      <c r="F123" s="12">
        <f>IF('Pass&amp;CardChoice'!$B$35,D123-E123,IF('Pass&amp;CardChoice'!$B$36,IF(NOT(OR('Pass&amp;CardChoice'!$B$12,'Pass&amp;CardChoice'!$B$13,'Pass&amp;CardChoice'!$B$14,'Pass&amp;CardChoice'!$B$15)),D123,0),0))</f>
        <v>0</v>
      </c>
      <c r="G123" s="19"/>
      <c r="H123" s="44">
        <f t="shared" si="36"/>
        <v>0</v>
      </c>
      <c r="I123" s="1">
        <f t="shared" si="26"/>
        <v>0</v>
      </c>
      <c r="J123" s="1">
        <f t="shared" si="34"/>
        <v>0</v>
      </c>
      <c r="K123" s="12">
        <f t="shared" si="35"/>
        <v>0</v>
      </c>
    </row>
    <row r="124" spans="2:11" ht="12.75">
      <c r="B124" t="s">
        <v>31</v>
      </c>
      <c r="C124" s="2"/>
      <c r="D124" s="12">
        <f>D123</f>
        <v>40</v>
      </c>
      <c r="E124" s="12">
        <f t="shared" si="30"/>
        <v>24</v>
      </c>
      <c r="F124" s="12">
        <f>IF('Pass&amp;CardChoice'!$B$35,D124-E124,IF('Pass&amp;CardChoice'!$B$36,IF(NOT(OR('Pass&amp;CardChoice'!$B$12,'Pass&amp;CardChoice'!$B$13,'Pass&amp;CardChoice'!$B$14,'Pass&amp;CardChoice'!$B$15)),D124,0),0))</f>
        <v>0</v>
      </c>
      <c r="G124" s="19"/>
      <c r="H124" s="44">
        <f t="shared" si="36"/>
        <v>0</v>
      </c>
      <c r="I124" s="1">
        <f t="shared" si="26"/>
        <v>0</v>
      </c>
      <c r="J124" s="1">
        <f t="shared" si="34"/>
        <v>0</v>
      </c>
      <c r="K124" s="12">
        <f t="shared" si="35"/>
        <v>0</v>
      </c>
    </row>
    <row r="125" spans="2:11" ht="12.75">
      <c r="B125" t="s">
        <v>191</v>
      </c>
      <c r="C125" s="2"/>
      <c r="D125" s="12">
        <f>D118</f>
        <v>45</v>
      </c>
      <c r="E125" s="12">
        <f t="shared" si="30"/>
        <v>27</v>
      </c>
      <c r="F125" s="12">
        <f>IF('Pass&amp;CardChoice'!$B$35,D125-E125,IF('Pass&amp;CardChoice'!$B$36,IF(NOT(OR('Pass&amp;CardChoice'!$B$12,'Pass&amp;CardChoice'!$B$13,'Pass&amp;CardChoice'!$B$14,'Pass&amp;CardChoice'!$B$15)),D125,0),0))</f>
        <v>0</v>
      </c>
      <c r="G125" s="19"/>
      <c r="H125" s="44">
        <f t="shared" si="36"/>
        <v>0</v>
      </c>
      <c r="I125" s="1">
        <f t="shared" si="26"/>
        <v>0</v>
      </c>
      <c r="J125" s="1">
        <f>H125-I125</f>
        <v>0</v>
      </c>
      <c r="K125" s="12">
        <f>(C125*F125)+(G125*D125)+(C125*J125)+(G125*H125)</f>
        <v>0</v>
      </c>
    </row>
    <row r="126" spans="2:11" ht="12.75">
      <c r="B126" t="s">
        <v>163</v>
      </c>
      <c r="C126" s="2"/>
      <c r="D126" s="12">
        <f>D118</f>
        <v>45</v>
      </c>
      <c r="E126" s="12">
        <v>27</v>
      </c>
      <c r="F126" s="12">
        <f>IF('Pass&amp;CardChoice'!$B$7,D126-E126,0)</f>
        <v>0</v>
      </c>
      <c r="G126" s="45"/>
      <c r="H126" s="45"/>
      <c r="I126" s="45"/>
      <c r="J126" s="45"/>
      <c r="K126" s="12">
        <v>0</v>
      </c>
    </row>
    <row r="127" spans="2:11" ht="12.75">
      <c r="B127" t="s">
        <v>164</v>
      </c>
      <c r="C127" s="2"/>
      <c r="D127" s="12">
        <f>D122</f>
        <v>40</v>
      </c>
      <c r="E127" s="12">
        <v>23.4</v>
      </c>
      <c r="F127" s="12">
        <f>IF('Pass&amp;CardChoice'!$B$7,D127-E127,0)</f>
        <v>0</v>
      </c>
      <c r="G127" s="45"/>
      <c r="H127" s="45"/>
      <c r="I127" s="45"/>
      <c r="J127" s="45"/>
      <c r="K127" s="12">
        <v>0</v>
      </c>
    </row>
    <row r="128" spans="1:11" ht="12.75">
      <c r="A128" t="s">
        <v>7</v>
      </c>
      <c r="D128" s="12"/>
      <c r="E128" s="12"/>
      <c r="K128" s="12"/>
    </row>
    <row r="129" spans="2:11" ht="12.75">
      <c r="B129" t="s">
        <v>27</v>
      </c>
      <c r="C129" s="2"/>
      <c r="D129" s="12">
        <f>'ticket prices'!F4</f>
        <v>32</v>
      </c>
      <c r="E129" s="12">
        <f aca="true" t="shared" si="37" ref="E129:E135">0.6*D129</f>
        <v>19.2</v>
      </c>
      <c r="F129" s="12">
        <f>IF('Pass&amp;CardChoice'!$B$35,D129-E129,IF('Pass&amp;CardChoice'!$B$36,IF(NOT(OR('Pass&amp;CardChoice'!$B$12,'Pass&amp;CardChoice'!$B$13,'Pass&amp;CardChoice'!$B$14,'Pass&amp;CardChoice'!$B$15)),D129,0),0))</f>
        <v>0</v>
      </c>
      <c r="G129" s="19"/>
      <c r="H129" s="1">
        <f>CHOOSE('Rental type'!A5,'ticket prices'!E15,'ticket prices'!E22,0)</f>
        <v>0</v>
      </c>
      <c r="I129" s="1">
        <f t="shared" si="26"/>
        <v>0</v>
      </c>
      <c r="J129" s="1">
        <f aca="true" t="shared" si="38" ref="J129:J135">H129-I129</f>
        <v>0</v>
      </c>
      <c r="K129" s="12">
        <f aca="true" t="shared" si="39" ref="K129:K135">(C129*F129)+(G129*D129)+(C129*J129)+(G129*H129)</f>
        <v>0</v>
      </c>
    </row>
    <row r="130" spans="2:11" ht="12.75">
      <c r="B130" t="s">
        <v>28</v>
      </c>
      <c r="C130" s="2"/>
      <c r="D130" s="12">
        <f>D129</f>
        <v>32</v>
      </c>
      <c r="E130" s="12">
        <f t="shared" si="37"/>
        <v>19.2</v>
      </c>
      <c r="F130" s="12">
        <f>IF('Pass&amp;CardChoice'!$B$35,D130-E130,IF('Pass&amp;CardChoice'!$B$36,IF(NOT(OR('Pass&amp;CardChoice'!$B$12,'Pass&amp;CardChoice'!$B$13,'Pass&amp;CardChoice'!$B$14,'Pass&amp;CardChoice'!$B$15)),D130,0),0))</f>
        <v>0</v>
      </c>
      <c r="G130" s="19"/>
      <c r="H130" s="1">
        <f>H129</f>
        <v>0</v>
      </c>
      <c r="I130" s="1">
        <f>0.6*H130</f>
        <v>0</v>
      </c>
      <c r="J130" s="1">
        <f t="shared" si="38"/>
        <v>0</v>
      </c>
      <c r="K130" s="12">
        <f t="shared" si="39"/>
        <v>0</v>
      </c>
    </row>
    <row r="131" spans="2:11" ht="12.75">
      <c r="B131" t="s">
        <v>43</v>
      </c>
      <c r="C131" s="2"/>
      <c r="D131" s="12">
        <f>D130</f>
        <v>32</v>
      </c>
      <c r="E131" s="12">
        <f t="shared" si="37"/>
        <v>19.2</v>
      </c>
      <c r="F131" s="12">
        <f>IF('Pass&amp;CardChoice'!$B$35,D131-E131,IF('Pass&amp;CardChoice'!$B$36,IF(NOT(OR('Pass&amp;CardChoice'!$B$12,'Pass&amp;CardChoice'!$B$13,'Pass&amp;CardChoice'!$B$14,'Pass&amp;CardChoice'!$B$15)),D131,0),0))</f>
        <v>0</v>
      </c>
      <c r="G131" s="19"/>
      <c r="H131" s="1">
        <f aca="true" t="shared" si="40" ref="H131:H136">H130</f>
        <v>0</v>
      </c>
      <c r="I131" s="1">
        <f t="shared" si="26"/>
        <v>0</v>
      </c>
      <c r="J131" s="1">
        <f>H131-I131</f>
        <v>0</v>
      </c>
      <c r="K131" s="12">
        <f t="shared" si="39"/>
        <v>0</v>
      </c>
    </row>
    <row r="132" spans="2:11" ht="12.75">
      <c r="B132" t="s">
        <v>44</v>
      </c>
      <c r="C132" s="2"/>
      <c r="D132" s="12">
        <f>D131</f>
        <v>32</v>
      </c>
      <c r="E132" s="12">
        <f t="shared" si="37"/>
        <v>19.2</v>
      </c>
      <c r="F132" s="12">
        <f>IF('Pass&amp;CardChoice'!$B$35,D132-E132,IF('Pass&amp;CardChoice'!$B$36,IF(NOT(OR('Pass&amp;CardChoice'!$B$12,'Pass&amp;CardChoice'!$B$13,'Pass&amp;CardChoice'!$B$14,'Pass&amp;CardChoice'!$B$15)),D132,0),0))</f>
        <v>0</v>
      </c>
      <c r="G132" s="19"/>
      <c r="H132" s="1">
        <f t="shared" si="40"/>
        <v>0</v>
      </c>
      <c r="I132" s="1">
        <f>0.6*H132</f>
        <v>0</v>
      </c>
      <c r="J132" s="1">
        <f>H132-I132</f>
        <v>0</v>
      </c>
      <c r="K132" s="12">
        <f t="shared" si="39"/>
        <v>0</v>
      </c>
    </row>
    <row r="133" spans="2:11" ht="12.75">
      <c r="B133" t="s">
        <v>29</v>
      </c>
      <c r="C133" s="2"/>
      <c r="D133" s="12">
        <f>'ticket prices'!F8</f>
        <v>27</v>
      </c>
      <c r="E133" s="12">
        <f t="shared" si="37"/>
        <v>16.2</v>
      </c>
      <c r="F133" s="12">
        <f>IF('Pass&amp;CardChoice'!$B$35,D133-E133,IF('Pass&amp;CardChoice'!$B$36,IF(NOT(OR('Pass&amp;CardChoice'!$B$12,'Pass&amp;CardChoice'!$B$13,'Pass&amp;CardChoice'!$B$14,'Pass&amp;CardChoice'!$B$15)),D133,0),0))</f>
        <v>0</v>
      </c>
      <c r="G133" s="19"/>
      <c r="H133" s="1">
        <f t="shared" si="40"/>
        <v>0</v>
      </c>
      <c r="I133" s="1">
        <f>0.6*H133</f>
        <v>0</v>
      </c>
      <c r="J133" s="1">
        <f t="shared" si="38"/>
        <v>0</v>
      </c>
      <c r="K133" s="12">
        <f t="shared" si="39"/>
        <v>0</v>
      </c>
    </row>
    <row r="134" spans="2:11" ht="12.75">
      <c r="B134" t="s">
        <v>30</v>
      </c>
      <c r="C134" s="2"/>
      <c r="D134" s="12">
        <f>D133</f>
        <v>27</v>
      </c>
      <c r="E134" s="12">
        <f t="shared" si="37"/>
        <v>16.2</v>
      </c>
      <c r="F134" s="12">
        <f>IF('Pass&amp;CardChoice'!$B$35,D134-E134,IF('Pass&amp;CardChoice'!$B$36,IF(NOT(OR('Pass&amp;CardChoice'!$B$12,'Pass&amp;CardChoice'!$B$13,'Pass&amp;CardChoice'!$B$14,'Pass&amp;CardChoice'!$B$15)),D134,0),0))</f>
        <v>0</v>
      </c>
      <c r="G134" s="19"/>
      <c r="H134" s="1">
        <f t="shared" si="40"/>
        <v>0</v>
      </c>
      <c r="I134" s="1">
        <f aca="true" t="shared" si="41" ref="I134:I169">0.6*H134</f>
        <v>0</v>
      </c>
      <c r="J134" s="1">
        <f t="shared" si="38"/>
        <v>0</v>
      </c>
      <c r="K134" s="12">
        <f t="shared" si="39"/>
        <v>0</v>
      </c>
    </row>
    <row r="135" spans="2:11" ht="12.75">
      <c r="B135" t="s">
        <v>31</v>
      </c>
      <c r="C135" s="2"/>
      <c r="D135" s="12">
        <f>D134</f>
        <v>27</v>
      </c>
      <c r="E135" s="12">
        <f t="shared" si="37"/>
        <v>16.2</v>
      </c>
      <c r="F135" s="12">
        <f>IF('Pass&amp;CardChoice'!$B$35,D135-E135,IF('Pass&amp;CardChoice'!$B$36,IF(NOT(OR('Pass&amp;CardChoice'!$B$12,'Pass&amp;CardChoice'!$B$13,'Pass&amp;CardChoice'!$B$14,'Pass&amp;CardChoice'!$B$15)),D135,0),0))</f>
        <v>0</v>
      </c>
      <c r="G135" s="19"/>
      <c r="H135" s="1">
        <f t="shared" si="40"/>
        <v>0</v>
      </c>
      <c r="I135" s="1">
        <f t="shared" si="41"/>
        <v>0</v>
      </c>
      <c r="J135" s="1">
        <f t="shared" si="38"/>
        <v>0</v>
      </c>
      <c r="K135" s="12">
        <f t="shared" si="39"/>
        <v>0</v>
      </c>
    </row>
    <row r="136" spans="2:11" ht="12.75">
      <c r="B136" t="s">
        <v>191</v>
      </c>
      <c r="C136" s="2"/>
      <c r="D136" s="12">
        <f>D129/2</f>
        <v>16</v>
      </c>
      <c r="E136" s="12">
        <f>D136</f>
        <v>16</v>
      </c>
      <c r="F136" s="12">
        <f>IF('Pass&amp;CardChoice'!$B$35,D136-E136,IF('Pass&amp;CardChoice'!$B$36,IF(NOT(OR('Pass&amp;CardChoice'!$B$12,'Pass&amp;CardChoice'!$B$13,'Pass&amp;CardChoice'!$B$14,'Pass&amp;CardChoice'!$B$15)),D136,0),0))</f>
        <v>0</v>
      </c>
      <c r="G136" s="19"/>
      <c r="H136" s="1">
        <f t="shared" si="40"/>
        <v>0</v>
      </c>
      <c r="I136" s="1">
        <f t="shared" si="41"/>
        <v>0</v>
      </c>
      <c r="J136" s="1">
        <f>H136-I136</f>
        <v>0</v>
      </c>
      <c r="K136" s="12">
        <f>(C136*F136)+(G136*D136)+(C136*J136)+(G136*H136)</f>
        <v>0</v>
      </c>
    </row>
    <row r="137" spans="2:11" ht="12.75">
      <c r="B137" t="s">
        <v>163</v>
      </c>
      <c r="C137" s="2"/>
      <c r="D137" s="12">
        <f>D129</f>
        <v>32</v>
      </c>
      <c r="E137" s="12">
        <v>27</v>
      </c>
      <c r="F137" s="12">
        <f>IF('Pass&amp;CardChoice'!$B$7,D137-E137,0)</f>
        <v>0</v>
      </c>
      <c r="G137" s="45"/>
      <c r="H137" s="45"/>
      <c r="I137" s="45"/>
      <c r="J137" s="45"/>
      <c r="K137" s="12">
        <v>0</v>
      </c>
    </row>
    <row r="138" spans="2:11" ht="12.75">
      <c r="B138" t="s">
        <v>164</v>
      </c>
      <c r="C138" s="2"/>
      <c r="D138" s="12">
        <f>D133</f>
        <v>27</v>
      </c>
      <c r="E138" s="12">
        <v>23.4</v>
      </c>
      <c r="F138" s="12">
        <f>IF('Pass&amp;CardChoice'!$B$7,D138-E138,0)</f>
        <v>0</v>
      </c>
      <c r="G138" s="45"/>
      <c r="H138" s="45"/>
      <c r="I138" s="45"/>
      <c r="J138" s="45"/>
      <c r="K138" s="12">
        <v>0</v>
      </c>
    </row>
    <row r="139" spans="1:11" ht="12.75">
      <c r="A139" t="s">
        <v>13</v>
      </c>
      <c r="D139" s="12"/>
      <c r="E139" s="12"/>
      <c r="K139" s="12"/>
    </row>
    <row r="140" spans="2:11" ht="12.75">
      <c r="B140" t="s">
        <v>27</v>
      </c>
      <c r="C140" s="2"/>
      <c r="D140" s="12">
        <f>'ticket prices'!E7</f>
        <v>49</v>
      </c>
      <c r="E140" s="12">
        <f>0.6*D140</f>
        <v>29.4</v>
      </c>
      <c r="F140" s="12">
        <f>IF('Pass&amp;CardChoice'!$B$35,D140-E140,IF('Pass&amp;CardChoice'!$B$36,IF(NOT(OR('Pass&amp;CardChoice'!$B$13,'Pass&amp;CardChoice'!$B$14,'Pass&amp;CardChoice'!$B$15)),D140,0),0))</f>
        <v>0</v>
      </c>
      <c r="G140" s="19"/>
      <c r="H140" s="1">
        <f>CHOOSE('Rental type'!A5,'ticket prices'!E18,'ticket prices'!E25,0)</f>
        <v>0</v>
      </c>
      <c r="I140" s="1">
        <f t="shared" si="41"/>
        <v>0</v>
      </c>
      <c r="J140" s="1">
        <f aca="true" t="shared" si="42" ref="J140:J146">H140-I140</f>
        <v>0</v>
      </c>
      <c r="K140" s="12">
        <f aca="true" t="shared" si="43" ref="K140:K146">(C140*F140)+(G140*D140)+(C140*J140)+(G140*H140)</f>
        <v>0</v>
      </c>
    </row>
    <row r="141" spans="2:11" ht="12.75">
      <c r="B141" t="s">
        <v>28</v>
      </c>
      <c r="C141" s="2"/>
      <c r="D141" s="12">
        <f>D140</f>
        <v>49</v>
      </c>
      <c r="E141" s="12">
        <f>0.6*D141</f>
        <v>29.4</v>
      </c>
      <c r="F141" s="12">
        <f>IF('Pass&amp;CardChoice'!$B$35,D141-E141,IF('Pass&amp;CardChoice'!$B$36,IF(NOT(OR('Pass&amp;CardChoice'!$B$13,'Pass&amp;CardChoice'!$B$14,'Pass&amp;CardChoice'!$B$15)),D141,0),0))</f>
        <v>0</v>
      </c>
      <c r="G141" s="19"/>
      <c r="H141" s="1">
        <f>H140</f>
        <v>0</v>
      </c>
      <c r="I141" s="1">
        <f t="shared" si="41"/>
        <v>0</v>
      </c>
      <c r="J141" s="1">
        <f t="shared" si="42"/>
        <v>0</v>
      </c>
      <c r="K141" s="12">
        <f t="shared" si="43"/>
        <v>0</v>
      </c>
    </row>
    <row r="142" spans="2:11" ht="12.75">
      <c r="B142" t="s">
        <v>43</v>
      </c>
      <c r="C142" s="2"/>
      <c r="D142" s="12">
        <f>D141</f>
        <v>49</v>
      </c>
      <c r="E142" s="12">
        <f>0.6*D142</f>
        <v>29.4</v>
      </c>
      <c r="F142" s="12">
        <f>IF('Pass&amp;CardChoice'!$B$35,D142-E142,IF('Pass&amp;CardChoice'!$B$36,IF(NOT(OR('Pass&amp;CardChoice'!$B$13,'Pass&amp;CardChoice'!$B$14,'Pass&amp;CardChoice'!$B$15)),D142,0),0))</f>
        <v>0</v>
      </c>
      <c r="G142" s="19"/>
      <c r="H142" s="1">
        <f aca="true" t="shared" si="44" ref="H142:H147">H141</f>
        <v>0</v>
      </c>
      <c r="I142" s="1">
        <f t="shared" si="41"/>
        <v>0</v>
      </c>
      <c r="J142" s="1">
        <f>H142-I142</f>
        <v>0</v>
      </c>
      <c r="K142" s="12">
        <f t="shared" si="43"/>
        <v>0</v>
      </c>
    </row>
    <row r="143" spans="2:11" ht="12.75">
      <c r="B143" t="s">
        <v>44</v>
      </c>
      <c r="C143" s="2"/>
      <c r="D143" s="12">
        <f>D142</f>
        <v>49</v>
      </c>
      <c r="E143" s="12">
        <f>0.6*D143</f>
        <v>29.4</v>
      </c>
      <c r="F143" s="12">
        <f>IF('Pass&amp;CardChoice'!$B$35,D143-E143,IF('Pass&amp;CardChoice'!$B$36,IF(NOT(OR('Pass&amp;CardChoice'!$B$13,'Pass&amp;CardChoice'!$B$14,'Pass&amp;CardChoice'!$B$15)),D143,0),0))</f>
        <v>0</v>
      </c>
      <c r="G143" s="19"/>
      <c r="H143" s="1">
        <f t="shared" si="44"/>
        <v>0</v>
      </c>
      <c r="I143" s="1">
        <f t="shared" si="41"/>
        <v>0</v>
      </c>
      <c r="J143" s="1">
        <f>H143-I143</f>
        <v>0</v>
      </c>
      <c r="K143" s="12">
        <f t="shared" si="43"/>
        <v>0</v>
      </c>
    </row>
    <row r="144" spans="2:11" ht="12.75">
      <c r="B144" t="s">
        <v>29</v>
      </c>
      <c r="C144" s="2"/>
      <c r="D144" s="12">
        <f>'ticket prices'!E11</f>
        <v>42</v>
      </c>
      <c r="E144" s="12">
        <f t="shared" si="30"/>
        <v>25.2</v>
      </c>
      <c r="F144" s="12">
        <f>IF('Pass&amp;CardChoice'!$B$35,D144-E144,IF('Pass&amp;CardChoice'!$B$36,IF(NOT(OR('Pass&amp;CardChoice'!$B$13,'Pass&amp;CardChoice'!$B$14,'Pass&amp;CardChoice'!$B$15)),D144,0),0))</f>
        <v>0</v>
      </c>
      <c r="G144" s="19"/>
      <c r="H144" s="1">
        <f t="shared" si="44"/>
        <v>0</v>
      </c>
      <c r="I144" s="1">
        <f t="shared" si="41"/>
        <v>0</v>
      </c>
      <c r="J144" s="1">
        <f t="shared" si="42"/>
        <v>0</v>
      </c>
      <c r="K144" s="12">
        <f t="shared" si="43"/>
        <v>0</v>
      </c>
    </row>
    <row r="145" spans="2:11" ht="12.75">
      <c r="B145" t="s">
        <v>30</v>
      </c>
      <c r="C145" s="2"/>
      <c r="D145" s="12">
        <f>D144</f>
        <v>42</v>
      </c>
      <c r="E145" s="12">
        <f t="shared" si="30"/>
        <v>25.2</v>
      </c>
      <c r="F145" s="12">
        <f>IF('Pass&amp;CardChoice'!$B$35,D145-E145,IF('Pass&amp;CardChoice'!$B$36,IF(NOT(OR('Pass&amp;CardChoice'!$B$13,'Pass&amp;CardChoice'!$B$14,'Pass&amp;CardChoice'!$B$15)),D145,0),0))</f>
        <v>0</v>
      </c>
      <c r="G145" s="19"/>
      <c r="H145" s="1">
        <f t="shared" si="44"/>
        <v>0</v>
      </c>
      <c r="I145" s="1">
        <f t="shared" si="41"/>
        <v>0</v>
      </c>
      <c r="J145" s="1">
        <f t="shared" si="42"/>
        <v>0</v>
      </c>
      <c r="K145" s="12">
        <f t="shared" si="43"/>
        <v>0</v>
      </c>
    </row>
    <row r="146" spans="2:11" ht="12.75">
      <c r="B146" t="s">
        <v>31</v>
      </c>
      <c r="C146" s="2"/>
      <c r="D146" s="12">
        <f>D145</f>
        <v>42</v>
      </c>
      <c r="E146" s="12">
        <f t="shared" si="30"/>
        <v>25.2</v>
      </c>
      <c r="F146" s="12">
        <f>IF('Pass&amp;CardChoice'!$B$35,D146-E146,IF('Pass&amp;CardChoice'!$B$36,IF(NOT(OR('Pass&amp;CardChoice'!$B$13,'Pass&amp;CardChoice'!$B$14,'Pass&amp;CardChoice'!$B$15)),D146,0),0))</f>
        <v>0</v>
      </c>
      <c r="G146" s="19"/>
      <c r="H146" s="1">
        <f t="shared" si="44"/>
        <v>0</v>
      </c>
      <c r="I146" s="1">
        <f t="shared" si="41"/>
        <v>0</v>
      </c>
      <c r="J146" s="1">
        <f t="shared" si="42"/>
        <v>0</v>
      </c>
      <c r="K146" s="12">
        <f t="shared" si="43"/>
        <v>0</v>
      </c>
    </row>
    <row r="147" spans="2:11" ht="12.75">
      <c r="B147" t="s">
        <v>191</v>
      </c>
      <c r="C147" s="2"/>
      <c r="D147" s="12">
        <f>D140/2</f>
        <v>24.5</v>
      </c>
      <c r="E147" s="12">
        <f>D147</f>
        <v>24.5</v>
      </c>
      <c r="F147" s="12">
        <f>IF('Pass&amp;CardChoice'!$B$35,D147-E147,IF('Pass&amp;CardChoice'!$B$36,IF(NOT(OR('Pass&amp;CardChoice'!$B$14,'Pass&amp;CardChoice'!$B$15)),D147,0),0))</f>
        <v>0</v>
      </c>
      <c r="G147" s="19"/>
      <c r="H147" s="1">
        <f t="shared" si="44"/>
        <v>0</v>
      </c>
      <c r="I147" s="1">
        <f t="shared" si="41"/>
        <v>0</v>
      </c>
      <c r="J147" s="1">
        <f>H147-I147</f>
        <v>0</v>
      </c>
      <c r="K147" s="12">
        <f>(C147*F147)+(G147*D147)+(C147*J147)+(G147*H147)</f>
        <v>0</v>
      </c>
    </row>
    <row r="148" spans="2:11" ht="12.75">
      <c r="B148" t="s">
        <v>163</v>
      </c>
      <c r="C148" s="2"/>
      <c r="D148" s="12">
        <f>D140</f>
        <v>49</v>
      </c>
      <c r="E148" s="12">
        <v>27</v>
      </c>
      <c r="F148" s="12">
        <f>IF('Pass&amp;CardChoice'!$B$7,D148-E148,0)</f>
        <v>0</v>
      </c>
      <c r="G148" s="45"/>
      <c r="H148" s="45"/>
      <c r="I148" s="45"/>
      <c r="J148" s="45"/>
      <c r="K148" s="12">
        <v>0</v>
      </c>
    </row>
    <row r="149" spans="2:11" ht="12.75">
      <c r="B149" t="s">
        <v>164</v>
      </c>
      <c r="C149" s="2"/>
      <c r="D149" s="12">
        <f>D144</f>
        <v>42</v>
      </c>
      <c r="E149" s="12">
        <v>23.4</v>
      </c>
      <c r="F149" s="12">
        <f>IF('Pass&amp;CardChoice'!$B$7,D149-E149,0)</f>
        <v>0</v>
      </c>
      <c r="G149" s="45"/>
      <c r="H149" s="45"/>
      <c r="I149" s="45"/>
      <c r="J149" s="45"/>
      <c r="K149" s="12">
        <v>0</v>
      </c>
    </row>
    <row r="150" spans="1:11" ht="12.75">
      <c r="A150" t="s">
        <v>5</v>
      </c>
      <c r="D150" s="12"/>
      <c r="E150" s="12"/>
      <c r="K150" s="12"/>
    </row>
    <row r="151" spans="2:11" ht="12.75">
      <c r="B151" t="s">
        <v>27</v>
      </c>
      <c r="C151" s="2"/>
      <c r="D151" s="12">
        <f>'ticket prices'!E6</f>
        <v>41</v>
      </c>
      <c r="E151" s="12">
        <f t="shared" si="30"/>
        <v>24.599999999999998</v>
      </c>
      <c r="F151" s="12">
        <f>IF('Pass&amp;CardChoice'!$B$35,D151-E151,IF('Pass&amp;CardChoice'!$B$36,IF(NOT(OR('Pass&amp;CardChoice'!$B$13,'Pass&amp;CardChoice'!$B$14,'Pass&amp;CardChoice'!$B$15)),D151,0),0))</f>
        <v>0</v>
      </c>
      <c r="G151" s="19"/>
      <c r="H151" s="1">
        <f>CHOOSE('Rental type'!A5,'ticket prices'!E17,'ticket prices'!E24,0)</f>
        <v>0</v>
      </c>
      <c r="I151" s="1">
        <f t="shared" si="41"/>
        <v>0</v>
      </c>
      <c r="J151" s="1">
        <f aca="true" t="shared" si="45" ref="J151:J157">H151-I151</f>
        <v>0</v>
      </c>
      <c r="K151" s="12">
        <f aca="true" t="shared" si="46" ref="K151:K157">(C151*F151)+(G151*D151)+(C151*J151)+(G151*H151)</f>
        <v>0</v>
      </c>
    </row>
    <row r="152" spans="2:11" ht="12.75">
      <c r="B152" t="s">
        <v>28</v>
      </c>
      <c r="C152" s="2"/>
      <c r="D152" s="12">
        <f>D151</f>
        <v>41</v>
      </c>
      <c r="E152" s="12">
        <f t="shared" si="30"/>
        <v>24.599999999999998</v>
      </c>
      <c r="F152" s="12">
        <f>IF('Pass&amp;CardChoice'!$B$35,D152-E152,IF('Pass&amp;CardChoice'!$B$36,IF(NOT(OR('Pass&amp;CardChoice'!$B$13,'Pass&amp;CardChoice'!$B$14,'Pass&amp;CardChoice'!$B$15)),D152,0),0))</f>
        <v>0</v>
      </c>
      <c r="G152" s="19"/>
      <c r="H152" s="1">
        <f>H151</f>
        <v>0</v>
      </c>
      <c r="I152" s="1">
        <f t="shared" si="41"/>
        <v>0</v>
      </c>
      <c r="J152" s="1">
        <f t="shared" si="45"/>
        <v>0</v>
      </c>
      <c r="K152" s="12">
        <f t="shared" si="46"/>
        <v>0</v>
      </c>
    </row>
    <row r="153" spans="2:11" ht="12.75">
      <c r="B153" t="s">
        <v>43</v>
      </c>
      <c r="C153" s="2"/>
      <c r="D153" s="12">
        <f>D152</f>
        <v>41</v>
      </c>
      <c r="E153" s="12">
        <f t="shared" si="30"/>
        <v>24.599999999999998</v>
      </c>
      <c r="F153" s="12">
        <f>IF('Pass&amp;CardChoice'!$B$35,D153-E153,IF('Pass&amp;CardChoice'!$B$36,IF(NOT(OR('Pass&amp;CardChoice'!$B$13,'Pass&amp;CardChoice'!$B$14,'Pass&amp;CardChoice'!$B$15)),D153,0),0))</f>
        <v>0</v>
      </c>
      <c r="G153" s="19"/>
      <c r="H153" s="1">
        <f aca="true" t="shared" si="47" ref="H153:H158">H152</f>
        <v>0</v>
      </c>
      <c r="I153" s="1">
        <f t="shared" si="41"/>
        <v>0</v>
      </c>
      <c r="J153" s="1">
        <f>H153-I153</f>
        <v>0</v>
      </c>
      <c r="K153" s="12">
        <f t="shared" si="46"/>
        <v>0</v>
      </c>
    </row>
    <row r="154" spans="2:11" ht="12.75">
      <c r="B154" t="s">
        <v>44</v>
      </c>
      <c r="C154" s="2"/>
      <c r="D154" s="12">
        <f>D153</f>
        <v>41</v>
      </c>
      <c r="E154" s="12">
        <f t="shared" si="30"/>
        <v>24.599999999999998</v>
      </c>
      <c r="F154" s="12">
        <f>IF('Pass&amp;CardChoice'!$B$35,D154-E154,IF('Pass&amp;CardChoice'!$B$36,IF(NOT(OR('Pass&amp;CardChoice'!$B$13,'Pass&amp;CardChoice'!$B$14,'Pass&amp;CardChoice'!$B$15)),D154,0),0))</f>
        <v>0</v>
      </c>
      <c r="G154" s="19"/>
      <c r="H154" s="1">
        <f t="shared" si="47"/>
        <v>0</v>
      </c>
      <c r="I154" s="1">
        <f t="shared" si="41"/>
        <v>0</v>
      </c>
      <c r="J154" s="1">
        <f>H154-I154</f>
        <v>0</v>
      </c>
      <c r="K154" s="12">
        <f t="shared" si="46"/>
        <v>0</v>
      </c>
    </row>
    <row r="155" spans="2:11" ht="12.75">
      <c r="B155" t="s">
        <v>29</v>
      </c>
      <c r="C155" s="2"/>
      <c r="D155" s="12">
        <f>'ticket prices'!E10</f>
        <v>36</v>
      </c>
      <c r="E155" s="12">
        <f t="shared" si="30"/>
        <v>21.599999999999998</v>
      </c>
      <c r="F155" s="12">
        <f>IF('Pass&amp;CardChoice'!$B$35,D155-E155,IF('Pass&amp;CardChoice'!$B$36,IF(NOT(OR('Pass&amp;CardChoice'!$B$13,'Pass&amp;CardChoice'!$B$14,'Pass&amp;CardChoice'!$B$15)),D155,0),0))</f>
        <v>0</v>
      </c>
      <c r="G155" s="19"/>
      <c r="H155" s="1">
        <f t="shared" si="47"/>
        <v>0</v>
      </c>
      <c r="I155" s="1">
        <f t="shared" si="41"/>
        <v>0</v>
      </c>
      <c r="J155" s="1">
        <f t="shared" si="45"/>
        <v>0</v>
      </c>
      <c r="K155" s="12">
        <f t="shared" si="46"/>
        <v>0</v>
      </c>
    </row>
    <row r="156" spans="2:11" ht="12.75">
      <c r="B156" t="s">
        <v>30</v>
      </c>
      <c r="C156" s="2"/>
      <c r="D156" s="12">
        <f>D155</f>
        <v>36</v>
      </c>
      <c r="E156" s="12">
        <f t="shared" si="30"/>
        <v>21.599999999999998</v>
      </c>
      <c r="F156" s="12">
        <f>IF('Pass&amp;CardChoice'!$B$35,D156-E156,IF('Pass&amp;CardChoice'!$B$36,IF(NOT(OR('Pass&amp;CardChoice'!$B$13,'Pass&amp;CardChoice'!$B$14,'Pass&amp;CardChoice'!$B$15)),D156,0),0))</f>
        <v>0</v>
      </c>
      <c r="G156" s="19"/>
      <c r="H156" s="1">
        <f t="shared" si="47"/>
        <v>0</v>
      </c>
      <c r="I156" s="1">
        <f t="shared" si="41"/>
        <v>0</v>
      </c>
      <c r="J156" s="1">
        <f t="shared" si="45"/>
        <v>0</v>
      </c>
      <c r="K156" s="12">
        <f t="shared" si="46"/>
        <v>0</v>
      </c>
    </row>
    <row r="157" spans="2:11" ht="12.75">
      <c r="B157" t="s">
        <v>31</v>
      </c>
      <c r="C157" s="2"/>
      <c r="D157" s="12">
        <f>D156</f>
        <v>36</v>
      </c>
      <c r="E157" s="12">
        <f t="shared" si="30"/>
        <v>21.599999999999998</v>
      </c>
      <c r="F157" s="12">
        <f>IF('Pass&amp;CardChoice'!$B$35,D157-E157,IF('Pass&amp;CardChoice'!$B$36,IF(NOT(OR('Pass&amp;CardChoice'!$B$13,'Pass&amp;CardChoice'!$B$14,'Pass&amp;CardChoice'!$B$15)),D157,0),0))</f>
        <v>0</v>
      </c>
      <c r="G157" s="19"/>
      <c r="H157" s="1">
        <f t="shared" si="47"/>
        <v>0</v>
      </c>
      <c r="I157" s="1">
        <f t="shared" si="41"/>
        <v>0</v>
      </c>
      <c r="J157" s="1">
        <f t="shared" si="45"/>
        <v>0</v>
      </c>
      <c r="K157" s="12">
        <f t="shared" si="46"/>
        <v>0</v>
      </c>
    </row>
    <row r="158" spans="2:11" ht="12.75">
      <c r="B158" t="s">
        <v>191</v>
      </c>
      <c r="C158" s="2"/>
      <c r="D158" s="12">
        <f>D151/2</f>
        <v>20.5</v>
      </c>
      <c r="E158" s="12">
        <f>D158</f>
        <v>20.5</v>
      </c>
      <c r="F158" s="12">
        <f>IF('Pass&amp;CardChoice'!$B$35,D158-E158,IF('Pass&amp;CardChoice'!$B$36,IF(NOT(OR('Pass&amp;CardChoice'!$B$14,'Pass&amp;CardChoice'!$B$15)),D158,0),0))</f>
        <v>0</v>
      </c>
      <c r="G158" s="19"/>
      <c r="H158" s="1">
        <f t="shared" si="47"/>
        <v>0</v>
      </c>
      <c r="I158" s="1">
        <f t="shared" si="41"/>
        <v>0</v>
      </c>
      <c r="J158" s="1">
        <f>H158-I158</f>
        <v>0</v>
      </c>
      <c r="K158" s="12">
        <f>(C158*F158)+(G158*D158)+(C158*J158)+(G158*H158)</f>
        <v>0</v>
      </c>
    </row>
    <row r="159" spans="2:11" ht="12.75">
      <c r="B159" t="s">
        <v>163</v>
      </c>
      <c r="C159" s="2"/>
      <c r="D159" s="12">
        <f>D151</f>
        <v>41</v>
      </c>
      <c r="E159" s="12">
        <v>27</v>
      </c>
      <c r="F159" s="12">
        <f>IF('Pass&amp;CardChoice'!$B$7,D159-E159,0)</f>
        <v>0</v>
      </c>
      <c r="G159" s="45"/>
      <c r="H159" s="45"/>
      <c r="I159" s="45"/>
      <c r="J159" s="45"/>
      <c r="K159" s="12">
        <v>0</v>
      </c>
    </row>
    <row r="160" spans="2:11" ht="12.75">
      <c r="B160" t="s">
        <v>164</v>
      </c>
      <c r="C160" s="2"/>
      <c r="D160" s="12">
        <f>D155</f>
        <v>36</v>
      </c>
      <c r="E160" s="12">
        <v>23.4</v>
      </c>
      <c r="F160" s="12">
        <f>IF('Pass&amp;CardChoice'!$B$7,D160-E160,0)</f>
        <v>0</v>
      </c>
      <c r="G160" s="45"/>
      <c r="H160" s="45"/>
      <c r="I160" s="45"/>
      <c r="J160" s="45"/>
      <c r="K160" s="12">
        <v>0</v>
      </c>
    </row>
    <row r="161" spans="1:11" ht="12.75">
      <c r="A161" t="s">
        <v>8</v>
      </c>
      <c r="D161" s="12"/>
      <c r="E161" s="12"/>
      <c r="K161" s="12"/>
    </row>
    <row r="162" spans="2:11" ht="12.75">
      <c r="B162" t="s">
        <v>27</v>
      </c>
      <c r="C162" s="2"/>
      <c r="D162" s="12">
        <f>'ticket prices'!E5</f>
        <v>36</v>
      </c>
      <c r="E162" s="12">
        <f t="shared" si="30"/>
        <v>21.599999999999998</v>
      </c>
      <c r="F162" s="12">
        <f>IF('Pass&amp;CardChoice'!$B$35,D162-E162,IF('Pass&amp;CardChoice'!$B$36,IF(NOT(OR('Pass&amp;CardChoice'!$B$13,'Pass&amp;CardChoice'!$B$14,'Pass&amp;CardChoice'!$B$15)),D162,0),0))</f>
        <v>0</v>
      </c>
      <c r="G162" s="19"/>
      <c r="H162" s="1">
        <f>CHOOSE('Rental type'!A5,'ticket prices'!E16,'ticket prices'!E23,0)</f>
        <v>0</v>
      </c>
      <c r="I162" s="1">
        <f t="shared" si="41"/>
        <v>0</v>
      </c>
      <c r="J162" s="1">
        <f aca="true" t="shared" si="48" ref="J162:J168">H162-I162</f>
        <v>0</v>
      </c>
      <c r="K162" s="12">
        <f aca="true" t="shared" si="49" ref="K162:K168">(C162*F162)+(G162*D162)+(C162*J162)+(G162*H162)</f>
        <v>0</v>
      </c>
    </row>
    <row r="163" spans="2:11" ht="12.75">
      <c r="B163" t="s">
        <v>28</v>
      </c>
      <c r="C163" s="2"/>
      <c r="D163" s="12">
        <f>D162</f>
        <v>36</v>
      </c>
      <c r="E163" s="12">
        <f t="shared" si="30"/>
        <v>21.599999999999998</v>
      </c>
      <c r="F163" s="12">
        <f>IF('Pass&amp;CardChoice'!$B$35,D163-E163,IF('Pass&amp;CardChoice'!$B$36,IF(NOT(OR('Pass&amp;CardChoice'!$B$13,'Pass&amp;CardChoice'!$B$14,'Pass&amp;CardChoice'!$B$15)),D163,0),0))</f>
        <v>0</v>
      </c>
      <c r="G163" s="19"/>
      <c r="H163" s="1">
        <f>H162</f>
        <v>0</v>
      </c>
      <c r="I163" s="1">
        <f t="shared" si="41"/>
        <v>0</v>
      </c>
      <c r="J163" s="1">
        <f t="shared" si="48"/>
        <v>0</v>
      </c>
      <c r="K163" s="12">
        <f t="shared" si="49"/>
        <v>0</v>
      </c>
    </row>
    <row r="164" spans="2:11" ht="12.75">
      <c r="B164" t="s">
        <v>43</v>
      </c>
      <c r="C164" s="2"/>
      <c r="D164" s="12">
        <f>D163</f>
        <v>36</v>
      </c>
      <c r="E164" s="12">
        <f t="shared" si="30"/>
        <v>21.599999999999998</v>
      </c>
      <c r="F164" s="12">
        <f>IF('Pass&amp;CardChoice'!$B$35,D164-E164,IF('Pass&amp;CardChoice'!$B$36,IF(NOT(OR('Pass&amp;CardChoice'!$B$13,'Pass&amp;CardChoice'!$B$14,'Pass&amp;CardChoice'!$B$15)),D164,0),0))</f>
        <v>0</v>
      </c>
      <c r="G164" s="19"/>
      <c r="H164" s="1">
        <f aca="true" t="shared" si="50" ref="H164:H169">H163</f>
        <v>0</v>
      </c>
      <c r="I164" s="1">
        <f t="shared" si="41"/>
        <v>0</v>
      </c>
      <c r="J164" s="1">
        <f>H164-I164</f>
        <v>0</v>
      </c>
      <c r="K164" s="12">
        <f t="shared" si="49"/>
        <v>0</v>
      </c>
    </row>
    <row r="165" spans="2:11" ht="12.75">
      <c r="B165" t="s">
        <v>44</v>
      </c>
      <c r="C165" s="2"/>
      <c r="D165" s="12">
        <f>D164</f>
        <v>36</v>
      </c>
      <c r="E165" s="12">
        <f t="shared" si="30"/>
        <v>21.599999999999998</v>
      </c>
      <c r="F165" s="12">
        <f>IF('Pass&amp;CardChoice'!$B$35,D165-E165,IF('Pass&amp;CardChoice'!$B$36,IF(NOT(OR('Pass&amp;CardChoice'!$B$13,'Pass&amp;CardChoice'!$B$14,'Pass&amp;CardChoice'!$B$15)),D165,0),0))</f>
        <v>0</v>
      </c>
      <c r="G165" s="19"/>
      <c r="H165" s="1">
        <f t="shared" si="50"/>
        <v>0</v>
      </c>
      <c r="I165" s="1">
        <f t="shared" si="41"/>
        <v>0</v>
      </c>
      <c r="J165" s="1">
        <f>H165-I165</f>
        <v>0</v>
      </c>
      <c r="K165" s="12">
        <f t="shared" si="49"/>
        <v>0</v>
      </c>
    </row>
    <row r="166" spans="2:11" ht="12.75">
      <c r="B166" t="s">
        <v>29</v>
      </c>
      <c r="C166" s="2"/>
      <c r="D166" s="12">
        <f>'ticket prices'!E9</f>
        <v>31</v>
      </c>
      <c r="E166" s="12">
        <f t="shared" si="30"/>
        <v>18.599999999999998</v>
      </c>
      <c r="F166" s="12">
        <f>IF('Pass&amp;CardChoice'!$B$35,D166-E166,IF('Pass&amp;CardChoice'!$B$36,IF(NOT(OR('Pass&amp;CardChoice'!$B$13,'Pass&amp;CardChoice'!$B$14,'Pass&amp;CardChoice'!$B$15)),D166,0),0))</f>
        <v>0</v>
      </c>
      <c r="G166" s="19"/>
      <c r="H166" s="1">
        <f t="shared" si="50"/>
        <v>0</v>
      </c>
      <c r="I166" s="1">
        <f t="shared" si="41"/>
        <v>0</v>
      </c>
      <c r="J166" s="1">
        <f t="shared" si="48"/>
        <v>0</v>
      </c>
      <c r="K166" s="12">
        <f t="shared" si="49"/>
        <v>0</v>
      </c>
    </row>
    <row r="167" spans="2:11" ht="12.75">
      <c r="B167" t="s">
        <v>30</v>
      </c>
      <c r="C167" s="2"/>
      <c r="D167" s="12">
        <f>D166</f>
        <v>31</v>
      </c>
      <c r="E167" s="12">
        <f t="shared" si="30"/>
        <v>18.599999999999998</v>
      </c>
      <c r="F167" s="12">
        <f>IF('Pass&amp;CardChoice'!$B$35,D167-E167,IF('Pass&amp;CardChoice'!$B$36,IF(NOT(OR('Pass&amp;CardChoice'!$B$13,'Pass&amp;CardChoice'!$B$14,'Pass&amp;CardChoice'!$B$15)),D167,0),0))</f>
        <v>0</v>
      </c>
      <c r="G167" s="19"/>
      <c r="H167" s="1">
        <f t="shared" si="50"/>
        <v>0</v>
      </c>
      <c r="I167" s="1">
        <f t="shared" si="41"/>
        <v>0</v>
      </c>
      <c r="J167" s="1">
        <f t="shared" si="48"/>
        <v>0</v>
      </c>
      <c r="K167" s="12">
        <f t="shared" si="49"/>
        <v>0</v>
      </c>
    </row>
    <row r="168" spans="2:11" ht="12.75">
      <c r="B168" t="s">
        <v>31</v>
      </c>
      <c r="C168" s="2"/>
      <c r="D168" s="12">
        <f>D167</f>
        <v>31</v>
      </c>
      <c r="E168" s="12">
        <f t="shared" si="30"/>
        <v>18.599999999999998</v>
      </c>
      <c r="F168" s="12">
        <f>IF('Pass&amp;CardChoice'!$B$35,D168-E168,IF('Pass&amp;CardChoice'!$B$36,IF(NOT(OR('Pass&amp;CardChoice'!$B$13,'Pass&amp;CardChoice'!$B$14,'Pass&amp;CardChoice'!$B$15)),D168,0),0))</f>
        <v>0</v>
      </c>
      <c r="G168" s="19"/>
      <c r="H168" s="1">
        <f t="shared" si="50"/>
        <v>0</v>
      </c>
      <c r="I168" s="1">
        <f t="shared" si="41"/>
        <v>0</v>
      </c>
      <c r="J168" s="1">
        <f t="shared" si="48"/>
        <v>0</v>
      </c>
      <c r="K168" s="12">
        <f t="shared" si="49"/>
        <v>0</v>
      </c>
    </row>
    <row r="169" spans="2:11" ht="12.75">
      <c r="B169" t="s">
        <v>191</v>
      </c>
      <c r="C169" s="2"/>
      <c r="D169" s="12">
        <f>D162/2</f>
        <v>18</v>
      </c>
      <c r="E169" s="12">
        <f>D169</f>
        <v>18</v>
      </c>
      <c r="F169" s="12">
        <f>IF('Pass&amp;CardChoice'!$B$35,D169-E169,IF('Pass&amp;CardChoice'!$B$36,IF(NOT(OR('Pass&amp;CardChoice'!$B$14,'Pass&amp;CardChoice'!$B$15)),D169,0),0))</f>
        <v>0</v>
      </c>
      <c r="G169" s="19"/>
      <c r="H169" s="1">
        <f t="shared" si="50"/>
        <v>0</v>
      </c>
      <c r="I169" s="1">
        <f t="shared" si="41"/>
        <v>0</v>
      </c>
      <c r="J169" s="1">
        <f>H169-I169</f>
        <v>0</v>
      </c>
      <c r="K169" s="12">
        <f>(C169*F169)+(G169*D169)+(C169*J169)+(G169*H169)</f>
        <v>0</v>
      </c>
    </row>
    <row r="170" spans="2:11" ht="12.75">
      <c r="B170" t="s">
        <v>163</v>
      </c>
      <c r="C170" s="2"/>
      <c r="D170" s="12">
        <f>D162</f>
        <v>36</v>
      </c>
      <c r="E170" s="12">
        <v>27</v>
      </c>
      <c r="F170" s="12">
        <f>IF('Pass&amp;CardChoice'!$B$7,D170-E170,0)</f>
        <v>0</v>
      </c>
      <c r="G170" s="45"/>
      <c r="H170" s="45"/>
      <c r="I170" s="45"/>
      <c r="J170" s="45"/>
      <c r="K170" s="12">
        <v>0</v>
      </c>
    </row>
    <row r="171" spans="2:11" ht="12.75">
      <c r="B171" t="s">
        <v>164</v>
      </c>
      <c r="C171" s="2"/>
      <c r="D171" s="12">
        <f>D166</f>
        <v>31</v>
      </c>
      <c r="E171" s="12">
        <v>23.4</v>
      </c>
      <c r="F171" s="12">
        <f>IF('Pass&amp;CardChoice'!$B$7,D171-E171,0)</f>
        <v>0</v>
      </c>
      <c r="G171" s="45"/>
      <c r="H171" s="45"/>
      <c r="I171" s="45"/>
      <c r="J171" s="45"/>
      <c r="K171" s="12">
        <v>0</v>
      </c>
    </row>
    <row r="172" spans="1:11" ht="12.75">
      <c r="A172" t="s">
        <v>17</v>
      </c>
      <c r="C172" s="28"/>
      <c r="D172" s="12"/>
      <c r="E172" s="12"/>
      <c r="K172" s="16"/>
    </row>
    <row r="173" spans="2:11" ht="12.75">
      <c r="B173" t="s">
        <v>1</v>
      </c>
      <c r="C173" s="2"/>
      <c r="D173" s="12">
        <f>'ticket prices'!E27</f>
        <v>29</v>
      </c>
      <c r="E173" s="12">
        <f t="shared" si="30"/>
        <v>17.4</v>
      </c>
      <c r="F173" s="12">
        <f>IF('Pass&amp;CardChoice'!$B$35,D173-E173,IF('Pass&amp;CardChoice'!$B$36,0.5*D173,0))</f>
        <v>0</v>
      </c>
      <c r="K173" s="16">
        <f>(C173*F173)</f>
        <v>0</v>
      </c>
    </row>
    <row r="174" spans="4:11" ht="12.75">
      <c r="D174" s="12"/>
      <c r="E174" s="12"/>
      <c r="K174" s="17">
        <f>SUM(K96:K173)</f>
        <v>0</v>
      </c>
    </row>
    <row r="175" spans="4:11" ht="24.75" customHeight="1">
      <c r="D175" s="12"/>
      <c r="E175" s="12"/>
      <c r="K175" s="1" t="s">
        <v>23</v>
      </c>
    </row>
    <row r="176" spans="1:11" s="7" customFormat="1" ht="12.75">
      <c r="A176" s="9" t="s">
        <v>14</v>
      </c>
      <c r="D176" s="15"/>
      <c r="E176" s="15"/>
      <c r="F176" s="15"/>
      <c r="G176" s="8"/>
      <c r="H176" s="8"/>
      <c r="I176" s="8"/>
      <c r="J176" s="8"/>
      <c r="K176" s="15"/>
    </row>
    <row r="177" spans="3:11" ht="38.25">
      <c r="C177" s="1" t="s">
        <v>2</v>
      </c>
      <c r="D177" s="1" t="s">
        <v>26</v>
      </c>
      <c r="E177" s="14" t="s">
        <v>6</v>
      </c>
      <c r="F177" s="12" t="s">
        <v>0</v>
      </c>
      <c r="G177" s="1" t="s">
        <v>9</v>
      </c>
      <c r="H177" s="1" t="s">
        <v>48</v>
      </c>
      <c r="I177" s="1" t="s">
        <v>25</v>
      </c>
      <c r="J177" s="1" t="s">
        <v>49</v>
      </c>
      <c r="K177" s="1" t="s">
        <v>32</v>
      </c>
    </row>
    <row r="178" spans="1:11" ht="12.75">
      <c r="A178" t="s">
        <v>12</v>
      </c>
      <c r="D178" s="12"/>
      <c r="E178" s="12"/>
      <c r="K178" s="12"/>
    </row>
    <row r="179" spans="2:11" ht="12.75">
      <c r="B179" t="s">
        <v>27</v>
      </c>
      <c r="C179" s="2"/>
      <c r="D179" s="12">
        <f>'ticket prices'!I7</f>
        <v>55</v>
      </c>
      <c r="E179" s="12">
        <f>0.6*D179</f>
        <v>33</v>
      </c>
      <c r="F179" s="12">
        <f>IF('Pass&amp;CardChoice'!$B$35,D179-E179,IF('Pass&amp;CardChoice'!$B$36,IF(NOT(OR('Pass&amp;CardChoice'!$B$12,'Pass&amp;CardChoice'!$B$13,'Pass&amp;CardChoice'!$B$14,'Pass&amp;CardChoice'!$B$15)),D179,0),0))</f>
        <v>0</v>
      </c>
      <c r="G179" s="19"/>
      <c r="H179" s="1">
        <f>CHOOSE('Rental type'!A5,'ticket prices'!H18,'ticket prices'!H25,0)</f>
        <v>0</v>
      </c>
      <c r="I179" s="1">
        <f aca="true" t="shared" si="51" ref="I179:I252">0.6*H179</f>
        <v>0</v>
      </c>
      <c r="J179" s="1">
        <f aca="true" t="shared" si="52" ref="J179:J185">H179-I179</f>
        <v>0</v>
      </c>
      <c r="K179" s="12">
        <f aca="true" t="shared" si="53" ref="K179:K185">(C179*F179)+(G179*D179)+(C179*J179)+(G179*H179)</f>
        <v>0</v>
      </c>
    </row>
    <row r="180" spans="2:11" ht="12.75">
      <c r="B180" t="s">
        <v>28</v>
      </c>
      <c r="C180" s="2"/>
      <c r="D180" s="12">
        <f>D179</f>
        <v>55</v>
      </c>
      <c r="E180" s="12">
        <f>0.6*D180</f>
        <v>33</v>
      </c>
      <c r="F180" s="12">
        <f>IF('Pass&amp;CardChoice'!$B$35,D180-E180,IF('Pass&amp;CardChoice'!$B$36,IF(NOT(OR('Pass&amp;CardChoice'!$B$12,'Pass&amp;CardChoice'!$B$13,'Pass&amp;CardChoice'!$B$14,'Pass&amp;CardChoice'!$B$15)),D180,0),0))</f>
        <v>0</v>
      </c>
      <c r="G180" s="19"/>
      <c r="H180" s="1">
        <f>H179</f>
        <v>0</v>
      </c>
      <c r="I180" s="1">
        <f t="shared" si="51"/>
        <v>0</v>
      </c>
      <c r="J180" s="1">
        <f t="shared" si="52"/>
        <v>0</v>
      </c>
      <c r="K180" s="12">
        <f t="shared" si="53"/>
        <v>0</v>
      </c>
    </row>
    <row r="181" spans="2:11" ht="12.75">
      <c r="B181" t="s">
        <v>43</v>
      </c>
      <c r="C181" s="2"/>
      <c r="D181" s="12">
        <f>D180</f>
        <v>55</v>
      </c>
      <c r="E181" s="12">
        <f>0.6*D181</f>
        <v>33</v>
      </c>
      <c r="F181" s="12">
        <f>IF('Pass&amp;CardChoice'!$B$35,D181-E181,IF('Pass&amp;CardChoice'!$B$36,IF(NOT(OR('Pass&amp;CardChoice'!$B$12,'Pass&amp;CardChoice'!$B$13,'Pass&amp;CardChoice'!$B$14,'Pass&amp;CardChoice'!$B$15)),D181,0),0))</f>
        <v>0</v>
      </c>
      <c r="G181" s="19"/>
      <c r="H181" s="1">
        <f aca="true" t="shared" si="54" ref="H181:H186">H180</f>
        <v>0</v>
      </c>
      <c r="I181" s="1">
        <f t="shared" si="51"/>
        <v>0</v>
      </c>
      <c r="J181" s="1">
        <f>H181-I181</f>
        <v>0</v>
      </c>
      <c r="K181" s="12">
        <f t="shared" si="53"/>
        <v>0</v>
      </c>
    </row>
    <row r="182" spans="2:11" ht="12.75">
      <c r="B182" t="s">
        <v>44</v>
      </c>
      <c r="C182" s="2"/>
      <c r="D182" s="12">
        <f>D181</f>
        <v>55</v>
      </c>
      <c r="E182" s="12">
        <f>0.6*D182</f>
        <v>33</v>
      </c>
      <c r="F182" s="12">
        <f>IF('Pass&amp;CardChoice'!$B$35,D182-E182,IF('Pass&amp;CardChoice'!$B$36,IF(NOT(OR('Pass&amp;CardChoice'!$B$12,'Pass&amp;CardChoice'!$B$13,'Pass&amp;CardChoice'!$B$14,'Pass&amp;CardChoice'!$B$15)),D182,0),0))</f>
        <v>0</v>
      </c>
      <c r="G182" s="19"/>
      <c r="H182" s="1">
        <f t="shared" si="54"/>
        <v>0</v>
      </c>
      <c r="I182" s="1">
        <f t="shared" si="51"/>
        <v>0</v>
      </c>
      <c r="J182" s="1">
        <f>H182-I182</f>
        <v>0</v>
      </c>
      <c r="K182" s="12">
        <f t="shared" si="53"/>
        <v>0</v>
      </c>
    </row>
    <row r="183" spans="2:11" ht="12.75">
      <c r="B183" t="s">
        <v>29</v>
      </c>
      <c r="C183" s="2"/>
      <c r="D183" s="12">
        <f>'ticket prices'!I10</f>
        <v>43</v>
      </c>
      <c r="E183" s="12">
        <f aca="true" t="shared" si="55" ref="E183:E251">0.6*D183</f>
        <v>25.8</v>
      </c>
      <c r="F183" s="12">
        <f>IF('Pass&amp;CardChoice'!$B$35,D183-E183,IF('Pass&amp;CardChoice'!$B$36,IF(NOT(OR('Pass&amp;CardChoice'!$B$12,'Pass&amp;CardChoice'!$B$13,'Pass&amp;CardChoice'!$B$14,'Pass&amp;CardChoice'!$B$15)),D183,0),0))</f>
        <v>0</v>
      </c>
      <c r="G183" s="19"/>
      <c r="H183" s="1">
        <f t="shared" si="54"/>
        <v>0</v>
      </c>
      <c r="I183" s="1">
        <f t="shared" si="51"/>
        <v>0</v>
      </c>
      <c r="J183" s="1">
        <f t="shared" si="52"/>
        <v>0</v>
      </c>
      <c r="K183" s="12">
        <f t="shared" si="53"/>
        <v>0</v>
      </c>
    </row>
    <row r="184" spans="2:11" ht="12.75">
      <c r="B184" t="s">
        <v>30</v>
      </c>
      <c r="C184" s="2"/>
      <c r="D184" s="12">
        <f>D183</f>
        <v>43</v>
      </c>
      <c r="E184" s="12">
        <f t="shared" si="55"/>
        <v>25.8</v>
      </c>
      <c r="F184" s="12">
        <f>IF('Pass&amp;CardChoice'!$B$35,D184-E184,IF('Pass&amp;CardChoice'!$B$36,IF(NOT(OR('Pass&amp;CardChoice'!$B$12,'Pass&amp;CardChoice'!$B$13,'Pass&amp;CardChoice'!$B$14,'Pass&amp;CardChoice'!$B$15)),D184,0),0))</f>
        <v>0</v>
      </c>
      <c r="G184" s="19"/>
      <c r="H184" s="1">
        <f t="shared" si="54"/>
        <v>0</v>
      </c>
      <c r="I184" s="1">
        <f t="shared" si="51"/>
        <v>0</v>
      </c>
      <c r="J184" s="1">
        <f t="shared" si="52"/>
        <v>0</v>
      </c>
      <c r="K184" s="12">
        <f t="shared" si="53"/>
        <v>0</v>
      </c>
    </row>
    <row r="185" spans="2:11" ht="12.75">
      <c r="B185" t="s">
        <v>31</v>
      </c>
      <c r="C185" s="2"/>
      <c r="D185" s="12">
        <f>D184</f>
        <v>43</v>
      </c>
      <c r="E185" s="12">
        <f t="shared" si="55"/>
        <v>25.8</v>
      </c>
      <c r="F185" s="12">
        <f>IF('Pass&amp;CardChoice'!$B$35,D185-E185,IF('Pass&amp;CardChoice'!$B$36,IF(NOT(OR('Pass&amp;CardChoice'!$B$12,'Pass&amp;CardChoice'!$B$13,'Pass&amp;CardChoice'!$B$14,'Pass&amp;CardChoice'!$B$15)),D185,0),0))</f>
        <v>0</v>
      </c>
      <c r="G185" s="19"/>
      <c r="H185" s="1">
        <f t="shared" si="54"/>
        <v>0</v>
      </c>
      <c r="I185" s="1">
        <f t="shared" si="51"/>
        <v>0</v>
      </c>
      <c r="J185" s="1">
        <f t="shared" si="52"/>
        <v>0</v>
      </c>
      <c r="K185" s="12">
        <f t="shared" si="53"/>
        <v>0</v>
      </c>
    </row>
    <row r="186" spans="2:11" ht="12.75">
      <c r="B186" t="s">
        <v>191</v>
      </c>
      <c r="C186" s="2"/>
      <c r="D186" s="12">
        <f>D179</f>
        <v>55</v>
      </c>
      <c r="E186" s="12">
        <f t="shared" si="55"/>
        <v>33</v>
      </c>
      <c r="F186" s="12">
        <f>IF('Pass&amp;CardChoice'!$B$35,D186-E186,IF('Pass&amp;CardChoice'!$B$36,IF(NOT(OR('Pass&amp;CardChoice'!$B$12,'Pass&amp;CardChoice'!$B$13,'Pass&amp;CardChoice'!$B$14,'Pass&amp;CardChoice'!$B$15)),D186,0),0))</f>
        <v>0</v>
      </c>
      <c r="G186" s="19"/>
      <c r="H186" s="1">
        <f t="shared" si="54"/>
        <v>0</v>
      </c>
      <c r="I186" s="1">
        <f t="shared" si="51"/>
        <v>0</v>
      </c>
      <c r="J186" s="1">
        <f>H186-I186</f>
        <v>0</v>
      </c>
      <c r="K186" s="12">
        <f>(C186*F186)+(G186*D186)+(C186*J186)+(G186*H186)</f>
        <v>0</v>
      </c>
    </row>
    <row r="187" spans="2:11" ht="12.75">
      <c r="B187" t="s">
        <v>163</v>
      </c>
      <c r="C187" s="2"/>
      <c r="D187" s="12">
        <f>D179</f>
        <v>55</v>
      </c>
      <c r="E187" s="12">
        <v>27</v>
      </c>
      <c r="F187" s="12">
        <f>IF('Pass&amp;CardChoice'!$B$7,D187-E187,0)</f>
        <v>0</v>
      </c>
      <c r="G187" s="45"/>
      <c r="H187" s="45"/>
      <c r="I187" s="45"/>
      <c r="J187" s="45"/>
      <c r="K187" s="12">
        <v>0</v>
      </c>
    </row>
    <row r="188" spans="2:11" ht="12.75">
      <c r="B188" t="s">
        <v>164</v>
      </c>
      <c r="C188" s="2"/>
      <c r="D188" s="12">
        <f>D183</f>
        <v>43</v>
      </c>
      <c r="E188" s="12">
        <v>23.4</v>
      </c>
      <c r="F188" s="12">
        <f>IF('Pass&amp;CardChoice'!$B$7,D188-E188,0)</f>
        <v>0</v>
      </c>
      <c r="G188" s="45"/>
      <c r="H188" s="45"/>
      <c r="I188" s="45"/>
      <c r="J188" s="45"/>
      <c r="K188" s="12">
        <v>0</v>
      </c>
    </row>
    <row r="189" spans="1:11" ht="12.75">
      <c r="A189" t="s">
        <v>3</v>
      </c>
      <c r="D189" s="12"/>
      <c r="E189" s="12"/>
      <c r="K189" s="12"/>
    </row>
    <row r="190" spans="2:11" ht="12.75">
      <c r="B190" t="s">
        <v>27</v>
      </c>
      <c r="C190" s="2"/>
      <c r="D190" s="12">
        <f>'ticket prices'!I6</f>
        <v>48</v>
      </c>
      <c r="E190" s="12">
        <f t="shared" si="55"/>
        <v>28.799999999999997</v>
      </c>
      <c r="F190" s="12">
        <f>IF('Pass&amp;CardChoice'!$B$35,D190-E190,IF('Pass&amp;CardChoice'!$B$36,IF(NOT(OR('Pass&amp;CardChoice'!$B$12,'Pass&amp;CardChoice'!$B$13,'Pass&amp;CardChoice'!$B$14,'Pass&amp;CardChoice'!$B$15)),D190,0),0))</f>
        <v>0</v>
      </c>
      <c r="G190" s="19"/>
      <c r="H190" s="1">
        <f>CHOOSE('Rental type'!A5,'ticket prices'!H17,'ticket prices'!H24,0)</f>
        <v>0</v>
      </c>
      <c r="I190" s="1">
        <f t="shared" si="51"/>
        <v>0</v>
      </c>
      <c r="J190" s="1">
        <f aca="true" t="shared" si="56" ref="J190:J196">H190-I190</f>
        <v>0</v>
      </c>
      <c r="K190" s="12">
        <f aca="true" t="shared" si="57" ref="K190:K196">(C190*F190)+(G190*D190)+(C190*J190)+(G190*H190)</f>
        <v>0</v>
      </c>
    </row>
    <row r="191" spans="2:11" ht="12.75">
      <c r="B191" t="s">
        <v>28</v>
      </c>
      <c r="C191" s="2"/>
      <c r="D191" s="12">
        <f>D190</f>
        <v>48</v>
      </c>
      <c r="E191" s="12">
        <f t="shared" si="55"/>
        <v>28.799999999999997</v>
      </c>
      <c r="F191" s="12">
        <f>IF('Pass&amp;CardChoice'!$B$35,D191-E191,IF('Pass&amp;CardChoice'!$B$36,IF(NOT(OR('Pass&amp;CardChoice'!$B$12,'Pass&amp;CardChoice'!$B$13,'Pass&amp;CardChoice'!$B$14,'Pass&amp;CardChoice'!$B$15)),D191,0),0))</f>
        <v>0</v>
      </c>
      <c r="G191" s="19"/>
      <c r="H191" s="1">
        <f>H190</f>
        <v>0</v>
      </c>
      <c r="I191" s="1">
        <f t="shared" si="51"/>
        <v>0</v>
      </c>
      <c r="J191" s="1">
        <f t="shared" si="56"/>
        <v>0</v>
      </c>
      <c r="K191" s="12">
        <f t="shared" si="57"/>
        <v>0</v>
      </c>
    </row>
    <row r="192" spans="2:11" ht="12.75">
      <c r="B192" t="s">
        <v>43</v>
      </c>
      <c r="C192" s="2"/>
      <c r="D192" s="12">
        <f>D191</f>
        <v>48</v>
      </c>
      <c r="E192" s="12">
        <f t="shared" si="55"/>
        <v>28.799999999999997</v>
      </c>
      <c r="F192" s="12">
        <f>IF('Pass&amp;CardChoice'!$B$35,D192-E192,IF('Pass&amp;CardChoice'!$B$36,IF(NOT(OR('Pass&amp;CardChoice'!$B$12,'Pass&amp;CardChoice'!$B$13,'Pass&amp;CardChoice'!$B$14,'Pass&amp;CardChoice'!$B$15)),D192,0),0))</f>
        <v>0</v>
      </c>
      <c r="G192" s="19"/>
      <c r="H192" s="1">
        <f aca="true" t="shared" si="58" ref="H192:H197">H191</f>
        <v>0</v>
      </c>
      <c r="I192" s="1">
        <f t="shared" si="51"/>
        <v>0</v>
      </c>
      <c r="J192" s="1">
        <f>H192-I192</f>
        <v>0</v>
      </c>
      <c r="K192" s="12">
        <f t="shared" si="57"/>
        <v>0</v>
      </c>
    </row>
    <row r="193" spans="2:11" ht="12.75">
      <c r="B193" t="s">
        <v>44</v>
      </c>
      <c r="C193" s="2"/>
      <c r="D193" s="12">
        <f>D192</f>
        <v>48</v>
      </c>
      <c r="E193" s="12">
        <f t="shared" si="55"/>
        <v>28.799999999999997</v>
      </c>
      <c r="F193" s="12">
        <f>IF('Pass&amp;CardChoice'!$B$35,D193-E193,IF('Pass&amp;CardChoice'!$B$36,IF(NOT(OR('Pass&amp;CardChoice'!$B$12,'Pass&amp;CardChoice'!$B$13,'Pass&amp;CardChoice'!$B$14,'Pass&amp;CardChoice'!$B$15)),D193,0),0))</f>
        <v>0</v>
      </c>
      <c r="G193" s="19"/>
      <c r="H193" s="1">
        <f t="shared" si="58"/>
        <v>0</v>
      </c>
      <c r="I193" s="1">
        <f t="shared" si="51"/>
        <v>0</v>
      </c>
      <c r="J193" s="1">
        <f>H193-I193</f>
        <v>0</v>
      </c>
      <c r="K193" s="12">
        <f t="shared" si="57"/>
        <v>0</v>
      </c>
    </row>
    <row r="194" spans="2:11" ht="12.75">
      <c r="B194" t="s">
        <v>29</v>
      </c>
      <c r="C194" s="2"/>
      <c r="D194" s="12">
        <f>'ticket prices'!I10</f>
        <v>43</v>
      </c>
      <c r="E194" s="12">
        <f t="shared" si="55"/>
        <v>25.8</v>
      </c>
      <c r="F194" s="12">
        <f>IF('Pass&amp;CardChoice'!$B$35,D194-E194,IF('Pass&amp;CardChoice'!$B$36,IF(NOT(OR('Pass&amp;CardChoice'!$B$12,'Pass&amp;CardChoice'!$B$13,'Pass&amp;CardChoice'!$B$14,'Pass&amp;CardChoice'!$B$15)),D194,0),0))</f>
        <v>0</v>
      </c>
      <c r="G194" s="19"/>
      <c r="H194" s="1">
        <f t="shared" si="58"/>
        <v>0</v>
      </c>
      <c r="I194" s="1">
        <f t="shared" si="51"/>
        <v>0</v>
      </c>
      <c r="J194" s="1">
        <f t="shared" si="56"/>
        <v>0</v>
      </c>
      <c r="K194" s="12">
        <f t="shared" si="57"/>
        <v>0</v>
      </c>
    </row>
    <row r="195" spans="2:11" ht="12.75">
      <c r="B195" t="s">
        <v>30</v>
      </c>
      <c r="C195" s="2"/>
      <c r="D195" s="12">
        <f>D194</f>
        <v>43</v>
      </c>
      <c r="E195" s="12">
        <f t="shared" si="55"/>
        <v>25.8</v>
      </c>
      <c r="F195" s="12">
        <f>IF('Pass&amp;CardChoice'!$B$35,D195-E195,IF('Pass&amp;CardChoice'!$B$36,IF(NOT(OR('Pass&amp;CardChoice'!$B$12,'Pass&amp;CardChoice'!$B$13,'Pass&amp;CardChoice'!$B$14,'Pass&amp;CardChoice'!$B$15)),D195,0),0))</f>
        <v>0</v>
      </c>
      <c r="G195" s="19"/>
      <c r="H195" s="1">
        <f t="shared" si="58"/>
        <v>0</v>
      </c>
      <c r="I195" s="1">
        <f t="shared" si="51"/>
        <v>0</v>
      </c>
      <c r="J195" s="1">
        <f t="shared" si="56"/>
        <v>0</v>
      </c>
      <c r="K195" s="12">
        <f t="shared" si="57"/>
        <v>0</v>
      </c>
    </row>
    <row r="196" spans="2:11" ht="12.75">
      <c r="B196" t="s">
        <v>31</v>
      </c>
      <c r="C196" s="2"/>
      <c r="D196" s="12">
        <f>D195</f>
        <v>43</v>
      </c>
      <c r="E196" s="12">
        <f t="shared" si="55"/>
        <v>25.8</v>
      </c>
      <c r="F196" s="12">
        <f>IF('Pass&amp;CardChoice'!$B$35,D196-E196,IF('Pass&amp;CardChoice'!$B$36,IF(NOT(OR('Pass&amp;CardChoice'!$B$12,'Pass&amp;CardChoice'!$B$13,'Pass&amp;CardChoice'!$B$14,'Pass&amp;CardChoice'!$B$15)),D196,0),0))</f>
        <v>0</v>
      </c>
      <c r="G196" s="19"/>
      <c r="H196" s="1">
        <f t="shared" si="58"/>
        <v>0</v>
      </c>
      <c r="I196" s="1">
        <f t="shared" si="51"/>
        <v>0</v>
      </c>
      <c r="J196" s="1">
        <f t="shared" si="56"/>
        <v>0</v>
      </c>
      <c r="K196" s="12">
        <f t="shared" si="57"/>
        <v>0</v>
      </c>
    </row>
    <row r="197" spans="2:11" ht="12.75">
      <c r="B197" t="s">
        <v>191</v>
      </c>
      <c r="C197" s="2"/>
      <c r="D197" s="12">
        <f>D190</f>
        <v>48</v>
      </c>
      <c r="E197" s="12">
        <f t="shared" si="55"/>
        <v>28.799999999999997</v>
      </c>
      <c r="F197" s="12">
        <f>IF('Pass&amp;CardChoice'!$B$35,D197-E197,IF('Pass&amp;CardChoice'!$B$36,IF(NOT(OR('Pass&amp;CardChoice'!$B$12,'Pass&amp;CardChoice'!$B$13,'Pass&amp;CardChoice'!$B$14,'Pass&amp;CardChoice'!$B$15)),D197,0),0))</f>
        <v>0</v>
      </c>
      <c r="G197" s="19"/>
      <c r="H197" s="1">
        <f t="shared" si="58"/>
        <v>0</v>
      </c>
      <c r="I197" s="1">
        <f t="shared" si="51"/>
        <v>0</v>
      </c>
      <c r="J197" s="1">
        <f>H197-I197</f>
        <v>0</v>
      </c>
      <c r="K197" s="12">
        <f>(C197*F197)+(G197*D197)+(C197*J197)+(G197*H197)</f>
        <v>0</v>
      </c>
    </row>
    <row r="198" spans="2:11" ht="12.75">
      <c r="B198" t="s">
        <v>163</v>
      </c>
      <c r="C198" s="2"/>
      <c r="D198" s="12">
        <f>D190</f>
        <v>48</v>
      </c>
      <c r="E198" s="12">
        <v>27</v>
      </c>
      <c r="F198" s="12">
        <f>IF('Pass&amp;CardChoice'!$B$7,D198-E198,0)</f>
        <v>0</v>
      </c>
      <c r="G198" s="45"/>
      <c r="H198" s="45"/>
      <c r="I198" s="45"/>
      <c r="J198" s="45"/>
      <c r="K198" s="12">
        <v>0</v>
      </c>
    </row>
    <row r="199" spans="2:11" ht="12.75">
      <c r="B199" t="s">
        <v>164</v>
      </c>
      <c r="C199" s="2"/>
      <c r="D199" s="12">
        <f>D194</f>
        <v>43</v>
      </c>
      <c r="E199" s="12">
        <v>23.4</v>
      </c>
      <c r="F199" s="12">
        <f>IF('Pass&amp;CardChoice'!$B$7,D199-E199,0)</f>
        <v>0</v>
      </c>
      <c r="G199" s="45"/>
      <c r="H199" s="45"/>
      <c r="I199" s="45"/>
      <c r="J199" s="45"/>
      <c r="K199" s="12">
        <v>0</v>
      </c>
    </row>
    <row r="200" spans="1:11" ht="12.75">
      <c r="A200" t="s">
        <v>4</v>
      </c>
      <c r="D200" s="12"/>
      <c r="E200" s="12"/>
      <c r="K200" s="12"/>
    </row>
    <row r="201" spans="2:11" ht="12.75">
      <c r="B201" t="s">
        <v>27</v>
      </c>
      <c r="C201" s="2"/>
      <c r="D201" s="12">
        <f>'ticket prices'!I5</f>
        <v>44</v>
      </c>
      <c r="E201" s="12">
        <f t="shared" si="55"/>
        <v>26.4</v>
      </c>
      <c r="F201" s="12">
        <f>IF('Pass&amp;CardChoice'!$B$35,D201-E201,IF('Pass&amp;CardChoice'!$B$36,IF(NOT(OR('Pass&amp;CardChoice'!$B$12,'Pass&amp;CardChoice'!$B$13,'Pass&amp;CardChoice'!$B$14,'Pass&amp;CardChoice'!$B$15)),D201,0),0))</f>
        <v>0</v>
      </c>
      <c r="G201" s="19"/>
      <c r="H201" s="1">
        <f>CHOOSE('Rental type'!A5,'ticket prices'!H16,'ticket prices'!H23,0)</f>
        <v>0</v>
      </c>
      <c r="I201" s="1">
        <f t="shared" si="51"/>
        <v>0</v>
      </c>
      <c r="J201" s="1">
        <f aca="true" t="shared" si="59" ref="J201:J207">H201-I201</f>
        <v>0</v>
      </c>
      <c r="K201" s="12">
        <f aca="true" t="shared" si="60" ref="K201:K207">(C201*F201)+(G201*D201)+(C201*J201)+(G201*H201)</f>
        <v>0</v>
      </c>
    </row>
    <row r="202" spans="2:11" ht="12.75">
      <c r="B202" t="s">
        <v>28</v>
      </c>
      <c r="C202" s="2"/>
      <c r="D202" s="12">
        <f>D201</f>
        <v>44</v>
      </c>
      <c r="E202" s="12">
        <f t="shared" si="55"/>
        <v>26.4</v>
      </c>
      <c r="F202" s="12">
        <f>IF('Pass&amp;CardChoice'!$B$35,D202-E202,IF('Pass&amp;CardChoice'!$B$36,IF(NOT(OR('Pass&amp;CardChoice'!$B$12,'Pass&amp;CardChoice'!$B$13,'Pass&amp;CardChoice'!$B$14,'Pass&amp;CardChoice'!$B$15)),D202,0),0))</f>
        <v>0</v>
      </c>
      <c r="G202" s="19"/>
      <c r="H202" s="1">
        <f>H201</f>
        <v>0</v>
      </c>
      <c r="I202" s="1">
        <f t="shared" si="51"/>
        <v>0</v>
      </c>
      <c r="J202" s="1">
        <f t="shared" si="59"/>
        <v>0</v>
      </c>
      <c r="K202" s="12">
        <f t="shared" si="60"/>
        <v>0</v>
      </c>
    </row>
    <row r="203" spans="2:11" ht="12.75">
      <c r="B203" t="s">
        <v>43</v>
      </c>
      <c r="C203" s="2"/>
      <c r="D203" s="12">
        <f>D202</f>
        <v>44</v>
      </c>
      <c r="E203" s="12">
        <f t="shared" si="55"/>
        <v>26.4</v>
      </c>
      <c r="F203" s="12">
        <f>IF('Pass&amp;CardChoice'!$B$35,D203-E203,IF('Pass&amp;CardChoice'!$B$36,IF(NOT(OR('Pass&amp;CardChoice'!$B$12,'Pass&amp;CardChoice'!$B$13,'Pass&amp;CardChoice'!$B$14,'Pass&amp;CardChoice'!$B$15)),D203,0),0))</f>
        <v>0</v>
      </c>
      <c r="G203" s="19"/>
      <c r="H203" s="1">
        <f aca="true" t="shared" si="61" ref="H203:H208">H202</f>
        <v>0</v>
      </c>
      <c r="I203" s="1">
        <f t="shared" si="51"/>
        <v>0</v>
      </c>
      <c r="J203" s="1">
        <f>H203-I203</f>
        <v>0</v>
      </c>
      <c r="K203" s="12">
        <f t="shared" si="60"/>
        <v>0</v>
      </c>
    </row>
    <row r="204" spans="2:11" ht="12.75">
      <c r="B204" t="s">
        <v>44</v>
      </c>
      <c r="C204" s="2"/>
      <c r="D204" s="12">
        <f>D203</f>
        <v>44</v>
      </c>
      <c r="E204" s="12">
        <f t="shared" si="55"/>
        <v>26.4</v>
      </c>
      <c r="F204" s="12">
        <f>IF('Pass&amp;CardChoice'!$B$35,D204-E204,IF('Pass&amp;CardChoice'!$B$36,IF(NOT(OR('Pass&amp;CardChoice'!$B$12,'Pass&amp;CardChoice'!$B$13,'Pass&amp;CardChoice'!$B$14,'Pass&amp;CardChoice'!$B$15)),D204,0),0))</f>
        <v>0</v>
      </c>
      <c r="G204" s="19"/>
      <c r="H204" s="1">
        <f t="shared" si="61"/>
        <v>0</v>
      </c>
      <c r="I204" s="1">
        <f t="shared" si="51"/>
        <v>0</v>
      </c>
      <c r="J204" s="1">
        <f>H204-I204</f>
        <v>0</v>
      </c>
      <c r="K204" s="12">
        <f t="shared" si="60"/>
        <v>0</v>
      </c>
    </row>
    <row r="205" spans="2:11" ht="12.75">
      <c r="B205" t="s">
        <v>29</v>
      </c>
      <c r="C205" s="2"/>
      <c r="D205" s="12">
        <f>'ticket prices'!I9</f>
        <v>39</v>
      </c>
      <c r="E205" s="12">
        <f t="shared" si="55"/>
        <v>23.4</v>
      </c>
      <c r="F205" s="12">
        <f>IF('Pass&amp;CardChoice'!$B$35,D205-E205,IF('Pass&amp;CardChoice'!$B$36,IF(NOT(OR('Pass&amp;CardChoice'!$B$12,'Pass&amp;CardChoice'!$B$13,'Pass&amp;CardChoice'!$B$14,'Pass&amp;CardChoice'!$B$15)),D205,0),0))</f>
        <v>0</v>
      </c>
      <c r="G205" s="19"/>
      <c r="H205" s="1">
        <f t="shared" si="61"/>
        <v>0</v>
      </c>
      <c r="I205" s="1">
        <f t="shared" si="51"/>
        <v>0</v>
      </c>
      <c r="J205" s="1">
        <f t="shared" si="59"/>
        <v>0</v>
      </c>
      <c r="K205" s="12">
        <f t="shared" si="60"/>
        <v>0</v>
      </c>
    </row>
    <row r="206" spans="2:11" ht="12.75">
      <c r="B206" t="s">
        <v>30</v>
      </c>
      <c r="C206" s="2"/>
      <c r="D206" s="12">
        <f>D205</f>
        <v>39</v>
      </c>
      <c r="E206" s="12">
        <f t="shared" si="55"/>
        <v>23.4</v>
      </c>
      <c r="F206" s="12">
        <f>IF('Pass&amp;CardChoice'!$B$35,D206-E206,IF('Pass&amp;CardChoice'!$B$36,IF(NOT(OR('Pass&amp;CardChoice'!$B$12,'Pass&amp;CardChoice'!$B$13,'Pass&amp;CardChoice'!$B$14,'Pass&amp;CardChoice'!$B$15)),D206,0),0))</f>
        <v>0</v>
      </c>
      <c r="G206" s="19"/>
      <c r="H206" s="1">
        <f t="shared" si="61"/>
        <v>0</v>
      </c>
      <c r="I206" s="1">
        <f t="shared" si="51"/>
        <v>0</v>
      </c>
      <c r="J206" s="1">
        <f t="shared" si="59"/>
        <v>0</v>
      </c>
      <c r="K206" s="12">
        <f t="shared" si="60"/>
        <v>0</v>
      </c>
    </row>
    <row r="207" spans="2:11" ht="12.75">
      <c r="B207" t="s">
        <v>31</v>
      </c>
      <c r="C207" s="2"/>
      <c r="D207" s="12">
        <f>D206</f>
        <v>39</v>
      </c>
      <c r="E207" s="12">
        <f t="shared" si="55"/>
        <v>23.4</v>
      </c>
      <c r="F207" s="12">
        <f>IF('Pass&amp;CardChoice'!$B$35,D207-E207,IF('Pass&amp;CardChoice'!$B$36,IF(NOT(OR('Pass&amp;CardChoice'!$B$12,'Pass&amp;CardChoice'!$B$13,'Pass&amp;CardChoice'!$B$14,'Pass&amp;CardChoice'!$B$15)),D207,0),0))</f>
        <v>0</v>
      </c>
      <c r="G207" s="19"/>
      <c r="H207" s="1">
        <f t="shared" si="61"/>
        <v>0</v>
      </c>
      <c r="I207" s="1">
        <f t="shared" si="51"/>
        <v>0</v>
      </c>
      <c r="J207" s="1">
        <f t="shared" si="59"/>
        <v>0</v>
      </c>
      <c r="K207" s="12">
        <f t="shared" si="60"/>
        <v>0</v>
      </c>
    </row>
    <row r="208" spans="2:11" ht="12.75">
      <c r="B208" t="s">
        <v>191</v>
      </c>
      <c r="C208" s="2"/>
      <c r="D208" s="12">
        <f>D201</f>
        <v>44</v>
      </c>
      <c r="E208" s="12">
        <f t="shared" si="55"/>
        <v>26.4</v>
      </c>
      <c r="F208" s="12">
        <f>IF('Pass&amp;CardChoice'!$B$35,D208-E208,IF('Pass&amp;CardChoice'!$B$36,IF(NOT(OR('Pass&amp;CardChoice'!$B$12,'Pass&amp;CardChoice'!$B$13,'Pass&amp;CardChoice'!$B$14,'Pass&amp;CardChoice'!$B$15)),D208,0),0))</f>
        <v>0</v>
      </c>
      <c r="G208" s="19"/>
      <c r="H208" s="1">
        <f t="shared" si="61"/>
        <v>0</v>
      </c>
      <c r="I208" s="1">
        <f t="shared" si="51"/>
        <v>0</v>
      </c>
      <c r="J208" s="1">
        <f>H208-I208</f>
        <v>0</v>
      </c>
      <c r="K208" s="12">
        <f>(C208*F208)+(G208*D208)+(C208*J208)+(G208*H208)</f>
        <v>0</v>
      </c>
    </row>
    <row r="209" spans="2:11" ht="12.75">
      <c r="B209" t="s">
        <v>163</v>
      </c>
      <c r="C209" s="2"/>
      <c r="D209" s="12">
        <f>D201</f>
        <v>44</v>
      </c>
      <c r="E209" s="12">
        <v>27</v>
      </c>
      <c r="F209" s="12">
        <f>IF('Pass&amp;CardChoice'!$B$7,D209-E209,0)</f>
        <v>0</v>
      </c>
      <c r="G209" s="45"/>
      <c r="H209" s="45"/>
      <c r="I209" s="45"/>
      <c r="J209" s="45"/>
      <c r="K209" s="12">
        <v>0</v>
      </c>
    </row>
    <row r="210" spans="2:11" ht="12.75">
      <c r="B210" t="s">
        <v>164</v>
      </c>
      <c r="C210" s="2"/>
      <c r="D210" s="12">
        <f>D205</f>
        <v>39</v>
      </c>
      <c r="E210" s="12">
        <v>23.4</v>
      </c>
      <c r="F210" s="12">
        <f>IF('Pass&amp;CardChoice'!$B$7,D210-E210,0)</f>
        <v>0</v>
      </c>
      <c r="G210" s="45"/>
      <c r="H210" s="45"/>
      <c r="I210" s="45"/>
      <c r="J210" s="45"/>
      <c r="K210" s="12">
        <v>0</v>
      </c>
    </row>
    <row r="211" spans="1:11" ht="12.75">
      <c r="A211" t="s">
        <v>7</v>
      </c>
      <c r="D211" s="12"/>
      <c r="E211" s="12"/>
      <c r="K211" s="12"/>
    </row>
    <row r="212" spans="2:11" ht="12.75">
      <c r="B212" t="s">
        <v>27</v>
      </c>
      <c r="C212" s="2"/>
      <c r="D212" s="12">
        <f>'ticket prices'!I4</f>
        <v>32</v>
      </c>
      <c r="E212" s="12">
        <f aca="true" t="shared" si="62" ref="E212:E218">0.6*D212</f>
        <v>19.2</v>
      </c>
      <c r="F212" s="12">
        <f>IF('Pass&amp;CardChoice'!$B$35,D212-E212,IF('Pass&amp;CardChoice'!$B$36,IF(NOT(OR('Pass&amp;CardChoice'!$B$12,'Pass&amp;CardChoice'!$B$13,'Pass&amp;CardChoice'!$B$15)),D212,0),0))</f>
        <v>0</v>
      </c>
      <c r="G212" s="19"/>
      <c r="H212" s="1">
        <f>CHOOSE('Rental type'!A5,'ticket prices'!H15,'ticket prices'!H22,0)</f>
        <v>0</v>
      </c>
      <c r="I212" s="1">
        <f t="shared" si="51"/>
        <v>0</v>
      </c>
      <c r="J212" s="1">
        <f aca="true" t="shared" si="63" ref="J212:J218">H212-I212</f>
        <v>0</v>
      </c>
      <c r="K212" s="12">
        <f aca="true" t="shared" si="64" ref="K212:K218">(C212*F212)+(G212*D212)+(C212*J212)+(G212*H212)</f>
        <v>0</v>
      </c>
    </row>
    <row r="213" spans="2:11" ht="12.75">
      <c r="B213" t="s">
        <v>28</v>
      </c>
      <c r="C213" s="2"/>
      <c r="D213" s="12">
        <f>D212</f>
        <v>32</v>
      </c>
      <c r="E213" s="12">
        <f t="shared" si="62"/>
        <v>19.2</v>
      </c>
      <c r="F213" s="12">
        <f>IF('Pass&amp;CardChoice'!$B$35,D213-E213,IF('Pass&amp;CardChoice'!$B$36,IF(NOT(OR('Pass&amp;CardChoice'!$B$12,'Pass&amp;CardChoice'!$B$13,'Pass&amp;CardChoice'!$B$15)),D213,0),0))</f>
        <v>0</v>
      </c>
      <c r="G213" s="19"/>
      <c r="H213" s="1">
        <f>H212</f>
        <v>0</v>
      </c>
      <c r="I213" s="1">
        <f t="shared" si="51"/>
        <v>0</v>
      </c>
      <c r="J213" s="1">
        <f t="shared" si="63"/>
        <v>0</v>
      </c>
      <c r="K213" s="12">
        <f t="shared" si="64"/>
        <v>0</v>
      </c>
    </row>
    <row r="214" spans="2:11" ht="12.75">
      <c r="B214" t="s">
        <v>43</v>
      </c>
      <c r="C214" s="2"/>
      <c r="D214" s="12">
        <f>D213</f>
        <v>32</v>
      </c>
      <c r="E214" s="12">
        <f t="shared" si="62"/>
        <v>19.2</v>
      </c>
      <c r="F214" s="12">
        <f>IF('Pass&amp;CardChoice'!$B$35,D214-E214,IF('Pass&amp;CardChoice'!$B$36,IF(NOT(OR('Pass&amp;CardChoice'!$B$12,'Pass&amp;CardChoice'!$B$13,'Pass&amp;CardChoice'!$B$15)),D214,0),0))</f>
        <v>0</v>
      </c>
      <c r="G214" s="19"/>
      <c r="H214" s="1">
        <f aca="true" t="shared" si="65" ref="H214:H219">H213</f>
        <v>0</v>
      </c>
      <c r="I214" s="1">
        <f t="shared" si="51"/>
        <v>0</v>
      </c>
      <c r="J214" s="1">
        <f>H214-I214</f>
        <v>0</v>
      </c>
      <c r="K214" s="12">
        <f t="shared" si="64"/>
        <v>0</v>
      </c>
    </row>
    <row r="215" spans="2:11" ht="12.75">
      <c r="B215" t="s">
        <v>44</v>
      </c>
      <c r="C215" s="2"/>
      <c r="D215" s="12">
        <f>D214</f>
        <v>32</v>
      </c>
      <c r="E215" s="12">
        <f t="shared" si="62"/>
        <v>19.2</v>
      </c>
      <c r="F215" s="12">
        <f>IF('Pass&amp;CardChoice'!$B$35,D215-E215,IF('Pass&amp;CardChoice'!$B$36,IF(NOT(OR('Pass&amp;CardChoice'!$B$12,'Pass&amp;CardChoice'!$B$13,'Pass&amp;CardChoice'!$B$15)),D215,0),0))</f>
        <v>0</v>
      </c>
      <c r="G215" s="19"/>
      <c r="H215" s="1">
        <f t="shared" si="65"/>
        <v>0</v>
      </c>
      <c r="I215" s="1">
        <f t="shared" si="51"/>
        <v>0</v>
      </c>
      <c r="J215" s="1">
        <f>H215-I215</f>
        <v>0</v>
      </c>
      <c r="K215" s="12">
        <f t="shared" si="64"/>
        <v>0</v>
      </c>
    </row>
    <row r="216" spans="2:11" ht="12.75">
      <c r="B216" t="s">
        <v>29</v>
      </c>
      <c r="C216" s="2"/>
      <c r="D216" s="12">
        <f>'ticket prices'!I8</f>
        <v>27</v>
      </c>
      <c r="E216" s="12">
        <f t="shared" si="62"/>
        <v>16.2</v>
      </c>
      <c r="F216" s="12">
        <f>IF('Pass&amp;CardChoice'!$B$35,D216-E216,IF('Pass&amp;CardChoice'!$B$36,IF(NOT(OR('Pass&amp;CardChoice'!$B$12,'Pass&amp;CardChoice'!$B$13,'Pass&amp;CardChoice'!$B$15)),D216,0),0))</f>
        <v>0</v>
      </c>
      <c r="G216" s="19"/>
      <c r="H216" s="1">
        <f t="shared" si="65"/>
        <v>0</v>
      </c>
      <c r="I216" s="1">
        <f t="shared" si="51"/>
        <v>0</v>
      </c>
      <c r="J216" s="1">
        <f t="shared" si="63"/>
        <v>0</v>
      </c>
      <c r="K216" s="12">
        <f t="shared" si="64"/>
        <v>0</v>
      </c>
    </row>
    <row r="217" spans="2:11" ht="12.75">
      <c r="B217" t="s">
        <v>30</v>
      </c>
      <c r="C217" s="2"/>
      <c r="D217" s="12">
        <f>D216</f>
        <v>27</v>
      </c>
      <c r="E217" s="12">
        <f t="shared" si="62"/>
        <v>16.2</v>
      </c>
      <c r="F217" s="12">
        <f>IF('Pass&amp;CardChoice'!$B$35,D217-E217,IF('Pass&amp;CardChoice'!$B$36,IF(NOT(OR('Pass&amp;CardChoice'!$B$12,'Pass&amp;CardChoice'!$B$13,'Pass&amp;CardChoice'!$B$15)),D217,0),0))</f>
        <v>0</v>
      </c>
      <c r="G217" s="19"/>
      <c r="H217" s="1">
        <f t="shared" si="65"/>
        <v>0</v>
      </c>
      <c r="I217" s="1">
        <f t="shared" si="51"/>
        <v>0</v>
      </c>
      <c r="J217" s="1">
        <f t="shared" si="63"/>
        <v>0</v>
      </c>
      <c r="K217" s="12">
        <f t="shared" si="64"/>
        <v>0</v>
      </c>
    </row>
    <row r="218" spans="2:11" ht="12.75">
      <c r="B218" t="s">
        <v>31</v>
      </c>
      <c r="C218" s="2"/>
      <c r="D218" s="12">
        <f>D217</f>
        <v>27</v>
      </c>
      <c r="E218" s="12">
        <f t="shared" si="62"/>
        <v>16.2</v>
      </c>
      <c r="F218" s="12">
        <f>IF('Pass&amp;CardChoice'!$B$35,D218-E218,IF('Pass&amp;CardChoice'!$B$36,IF(NOT(OR('Pass&amp;CardChoice'!$B$12,'Pass&amp;CardChoice'!$B$13,'Pass&amp;CardChoice'!$B$15)),D218,0),0))</f>
        <v>0</v>
      </c>
      <c r="G218" s="19"/>
      <c r="H218" s="1">
        <f t="shared" si="65"/>
        <v>0</v>
      </c>
      <c r="I218" s="1">
        <f t="shared" si="51"/>
        <v>0</v>
      </c>
      <c r="J218" s="1">
        <f t="shared" si="63"/>
        <v>0</v>
      </c>
      <c r="K218" s="12">
        <f t="shared" si="64"/>
        <v>0</v>
      </c>
    </row>
    <row r="219" spans="2:11" ht="12.75">
      <c r="B219" t="s">
        <v>191</v>
      </c>
      <c r="C219" s="2"/>
      <c r="D219" s="12">
        <f>D212/2</f>
        <v>16</v>
      </c>
      <c r="E219" s="12">
        <f>D219</f>
        <v>16</v>
      </c>
      <c r="F219" s="12">
        <f>IF('Pass&amp;CardChoice'!$B$35,D219-E219,IF('Pass&amp;CardChoice'!$B$36,IF(NOT(OR('Pass&amp;CardChoice'!$B$12,'Pass&amp;CardChoice'!$B$13,'Pass&amp;CardChoice'!$B$15)),D219,0),0))</f>
        <v>0</v>
      </c>
      <c r="G219" s="19"/>
      <c r="H219" s="1">
        <f t="shared" si="65"/>
        <v>0</v>
      </c>
      <c r="I219" s="1">
        <f t="shared" si="51"/>
        <v>0</v>
      </c>
      <c r="J219" s="1">
        <f>H219-I219</f>
        <v>0</v>
      </c>
      <c r="K219" s="12">
        <f>(C219*F219)+(G219*D219)+(C219*J219)+(G219*H219)</f>
        <v>0</v>
      </c>
    </row>
    <row r="220" spans="2:11" ht="12.75">
      <c r="B220" t="s">
        <v>163</v>
      </c>
      <c r="C220" s="2"/>
      <c r="D220" s="12">
        <f>D212</f>
        <v>32</v>
      </c>
      <c r="E220" s="12">
        <v>27</v>
      </c>
      <c r="F220" s="12">
        <f>IF('Pass&amp;CardChoice'!$B$7,D220-E220,0)</f>
        <v>0</v>
      </c>
      <c r="G220" s="45"/>
      <c r="H220" s="45"/>
      <c r="I220" s="45"/>
      <c r="J220" s="45"/>
      <c r="K220" s="12">
        <v>0</v>
      </c>
    </row>
    <row r="221" spans="2:11" ht="12.75">
      <c r="B221" t="s">
        <v>164</v>
      </c>
      <c r="C221" s="2"/>
      <c r="D221" s="12">
        <f>D216</f>
        <v>27</v>
      </c>
      <c r="E221" s="12">
        <v>23.4</v>
      </c>
      <c r="F221" s="12">
        <f>IF('Pass&amp;CardChoice'!$B$7,D221-E221,0)</f>
        <v>0</v>
      </c>
      <c r="G221" s="45"/>
      <c r="H221" s="45"/>
      <c r="I221" s="45"/>
      <c r="J221" s="45"/>
      <c r="K221" s="12">
        <v>0</v>
      </c>
    </row>
    <row r="222" spans="1:11" ht="12.75">
      <c r="A222" t="s">
        <v>13</v>
      </c>
      <c r="D222" s="12"/>
      <c r="E222" s="12"/>
      <c r="K222" s="12"/>
    </row>
    <row r="223" spans="2:11" ht="12.75">
      <c r="B223" t="s">
        <v>27</v>
      </c>
      <c r="C223" s="2"/>
      <c r="D223" s="12">
        <f>'ticket prices'!H7</f>
        <v>49</v>
      </c>
      <c r="E223" s="12">
        <f>0.6*D223</f>
        <v>29.4</v>
      </c>
      <c r="F223" s="12">
        <f>IF('Pass&amp;CardChoice'!$B$35,D223-E223,IF('Pass&amp;CardChoice'!$B$36,IF(NOT(OR('Pass&amp;CardChoice'!$B$12,'Pass&amp;CardChoice'!$B$13,'Pass&amp;CardChoice'!$B$14,'Pass&amp;CardChoice'!$B$15)),D223,0),0))</f>
        <v>0</v>
      </c>
      <c r="G223" s="19"/>
      <c r="H223" s="1">
        <f>CHOOSE('Rental type'!A5,'ticket prices'!H18,'ticket prices'!H25,0)</f>
        <v>0</v>
      </c>
      <c r="I223" s="1">
        <f t="shared" si="51"/>
        <v>0</v>
      </c>
      <c r="J223" s="1">
        <f aca="true" t="shared" si="66" ref="J223:J229">H223-I223</f>
        <v>0</v>
      </c>
      <c r="K223" s="12">
        <f aca="true" t="shared" si="67" ref="K223:K229">(C223*F223)+(G223*D223)+(C223*J223)+(G223*H223)</f>
        <v>0</v>
      </c>
    </row>
    <row r="224" spans="2:11" ht="12.75">
      <c r="B224" t="s">
        <v>28</v>
      </c>
      <c r="C224" s="2"/>
      <c r="D224" s="12">
        <f>D223</f>
        <v>49</v>
      </c>
      <c r="E224" s="12">
        <f>0.6*D224</f>
        <v>29.4</v>
      </c>
      <c r="F224" s="12">
        <f>IF('Pass&amp;CardChoice'!$B$35,D224-E224,IF('Pass&amp;CardChoice'!$B$36,IF(NOT(OR('Pass&amp;CardChoice'!$B$12,'Pass&amp;CardChoice'!$B$13,'Pass&amp;CardChoice'!$B$14,'Pass&amp;CardChoice'!$B$15)),D224,0),0))</f>
        <v>0</v>
      </c>
      <c r="G224" s="19"/>
      <c r="H224" s="1">
        <f>H223</f>
        <v>0</v>
      </c>
      <c r="I224" s="1">
        <f t="shared" si="51"/>
        <v>0</v>
      </c>
      <c r="J224" s="1">
        <f t="shared" si="66"/>
        <v>0</v>
      </c>
      <c r="K224" s="12">
        <f t="shared" si="67"/>
        <v>0</v>
      </c>
    </row>
    <row r="225" spans="2:11" ht="12.75">
      <c r="B225" t="s">
        <v>43</v>
      </c>
      <c r="C225" s="2"/>
      <c r="D225" s="12">
        <f>D224</f>
        <v>49</v>
      </c>
      <c r="E225" s="12">
        <f>0.6*D225</f>
        <v>29.4</v>
      </c>
      <c r="F225" s="12">
        <f>IF('Pass&amp;CardChoice'!$B$35,D225-E225,IF('Pass&amp;CardChoice'!$B$36,IF(NOT(OR('Pass&amp;CardChoice'!$B$12,'Pass&amp;CardChoice'!$B$13,'Pass&amp;CardChoice'!$B$14,'Pass&amp;CardChoice'!$B$15)),D225,0),0))</f>
        <v>0</v>
      </c>
      <c r="G225" s="19"/>
      <c r="H225" s="1">
        <f aca="true" t="shared" si="68" ref="H225:H230">H224</f>
        <v>0</v>
      </c>
      <c r="I225" s="1">
        <f t="shared" si="51"/>
        <v>0</v>
      </c>
      <c r="J225" s="1">
        <f>H225-I225</f>
        <v>0</v>
      </c>
      <c r="K225" s="12">
        <f t="shared" si="67"/>
        <v>0</v>
      </c>
    </row>
    <row r="226" spans="2:11" ht="12.75">
      <c r="B226" t="s">
        <v>44</v>
      </c>
      <c r="C226" s="2"/>
      <c r="D226" s="12">
        <f>D225</f>
        <v>49</v>
      </c>
      <c r="E226" s="12">
        <f>0.6*D226</f>
        <v>29.4</v>
      </c>
      <c r="F226" s="12">
        <f>IF('Pass&amp;CardChoice'!$B$35,D226-E226,IF('Pass&amp;CardChoice'!$B$36,IF(NOT(OR('Pass&amp;CardChoice'!$B$12,'Pass&amp;CardChoice'!$B$13,'Pass&amp;CardChoice'!$B$14,'Pass&amp;CardChoice'!$B$15)),D226,0),0))</f>
        <v>0</v>
      </c>
      <c r="G226" s="19"/>
      <c r="H226" s="1">
        <f t="shared" si="68"/>
        <v>0</v>
      </c>
      <c r="I226" s="1">
        <f t="shared" si="51"/>
        <v>0</v>
      </c>
      <c r="J226" s="1">
        <f>H226-I226</f>
        <v>0</v>
      </c>
      <c r="K226" s="12">
        <f t="shared" si="67"/>
        <v>0</v>
      </c>
    </row>
    <row r="227" spans="2:11" ht="12.75">
      <c r="B227" t="s">
        <v>29</v>
      </c>
      <c r="C227" s="2"/>
      <c r="D227" s="12">
        <f>'ticket prices'!H11</f>
        <v>42</v>
      </c>
      <c r="E227" s="12">
        <f t="shared" si="55"/>
        <v>25.2</v>
      </c>
      <c r="F227" s="12">
        <f>IF('Pass&amp;CardChoice'!$B$35,D227-E227,IF('Pass&amp;CardChoice'!$B$36,IF(NOT(OR('Pass&amp;CardChoice'!$B$12,'Pass&amp;CardChoice'!$B$13,'Pass&amp;CardChoice'!$B$14,'Pass&amp;CardChoice'!$B$15)),D227,0),0))</f>
        <v>0</v>
      </c>
      <c r="G227" s="19"/>
      <c r="H227" s="1">
        <f t="shared" si="68"/>
        <v>0</v>
      </c>
      <c r="I227" s="1">
        <f t="shared" si="51"/>
        <v>0</v>
      </c>
      <c r="J227" s="1">
        <f t="shared" si="66"/>
        <v>0</v>
      </c>
      <c r="K227" s="12">
        <f t="shared" si="67"/>
        <v>0</v>
      </c>
    </row>
    <row r="228" spans="2:11" ht="12.75">
      <c r="B228" t="s">
        <v>30</v>
      </c>
      <c r="C228" s="2"/>
      <c r="D228" s="12">
        <f>D227</f>
        <v>42</v>
      </c>
      <c r="E228" s="12">
        <f t="shared" si="55"/>
        <v>25.2</v>
      </c>
      <c r="F228" s="12">
        <f>IF('Pass&amp;CardChoice'!$B$35,D228-E228,IF('Pass&amp;CardChoice'!$B$36,IF(NOT(OR('Pass&amp;CardChoice'!$B$12,'Pass&amp;CardChoice'!$B$13,'Pass&amp;CardChoice'!$B$14,'Pass&amp;CardChoice'!$B$15)),D228,0),0))</f>
        <v>0</v>
      </c>
      <c r="G228" s="19"/>
      <c r="H228" s="1">
        <f t="shared" si="68"/>
        <v>0</v>
      </c>
      <c r="I228" s="1">
        <f t="shared" si="51"/>
        <v>0</v>
      </c>
      <c r="J228" s="1">
        <f t="shared" si="66"/>
        <v>0</v>
      </c>
      <c r="K228" s="12">
        <f t="shared" si="67"/>
        <v>0</v>
      </c>
    </row>
    <row r="229" spans="2:11" ht="12.75">
      <c r="B229" t="s">
        <v>31</v>
      </c>
      <c r="C229" s="2"/>
      <c r="D229" s="12">
        <f>D228</f>
        <v>42</v>
      </c>
      <c r="E229" s="12">
        <f t="shared" si="55"/>
        <v>25.2</v>
      </c>
      <c r="F229" s="12">
        <f>IF('Pass&amp;CardChoice'!$B$35,D229-E229,IF('Pass&amp;CardChoice'!$B$36,IF(NOT(OR('Pass&amp;CardChoice'!$B$12,'Pass&amp;CardChoice'!$B$13,'Pass&amp;CardChoice'!$B$14,'Pass&amp;CardChoice'!$B$15)),D229,0),0))</f>
        <v>0</v>
      </c>
      <c r="G229" s="19"/>
      <c r="H229" s="1">
        <f t="shared" si="68"/>
        <v>0</v>
      </c>
      <c r="I229" s="1">
        <f t="shared" si="51"/>
        <v>0</v>
      </c>
      <c r="J229" s="1">
        <f t="shared" si="66"/>
        <v>0</v>
      </c>
      <c r="K229" s="12">
        <f t="shared" si="67"/>
        <v>0</v>
      </c>
    </row>
    <row r="230" spans="2:11" ht="12.75">
      <c r="B230" t="s">
        <v>191</v>
      </c>
      <c r="C230" s="2"/>
      <c r="D230" s="12">
        <f>D223/2</f>
        <v>24.5</v>
      </c>
      <c r="E230" s="12">
        <f>D230</f>
        <v>24.5</v>
      </c>
      <c r="F230" s="12">
        <f>IF('Pass&amp;CardChoice'!$B$35,D230-E230,IF('Pass&amp;CardChoice'!$B$36,IF(NOT(OR('Pass&amp;CardChoice'!$B$12,'Pass&amp;CardChoice'!$B$14,'Pass&amp;CardChoice'!$B$15)),D230,0),0))</f>
        <v>0</v>
      </c>
      <c r="G230" s="19"/>
      <c r="H230" s="1">
        <f t="shared" si="68"/>
        <v>0</v>
      </c>
      <c r="I230" s="1">
        <f t="shared" si="51"/>
        <v>0</v>
      </c>
      <c r="J230" s="1">
        <f>H230-I230</f>
        <v>0</v>
      </c>
      <c r="K230" s="12">
        <f>(C230*F230)+(G230*D230)+(C230*J230)+(G230*H230)</f>
        <v>0</v>
      </c>
    </row>
    <row r="231" spans="2:11" ht="12.75">
      <c r="B231" t="s">
        <v>163</v>
      </c>
      <c r="C231" s="2"/>
      <c r="D231" s="12">
        <f>D223</f>
        <v>49</v>
      </c>
      <c r="E231" s="12">
        <v>27</v>
      </c>
      <c r="F231" s="12">
        <f>IF('Pass&amp;CardChoice'!$B$7,D231-E231,0)</f>
        <v>0</v>
      </c>
      <c r="G231" s="45"/>
      <c r="H231" s="45"/>
      <c r="I231" s="45"/>
      <c r="J231" s="45"/>
      <c r="K231" s="12">
        <v>0</v>
      </c>
    </row>
    <row r="232" spans="2:11" ht="12.75">
      <c r="B232" t="s">
        <v>164</v>
      </c>
      <c r="C232" s="2"/>
      <c r="D232" s="12">
        <f>D227</f>
        <v>42</v>
      </c>
      <c r="E232" s="12">
        <v>23.4</v>
      </c>
      <c r="F232" s="12">
        <f>IF('Pass&amp;CardChoice'!$B$7,D232-E232,0)</f>
        <v>0</v>
      </c>
      <c r="G232" s="45"/>
      <c r="H232" s="45"/>
      <c r="I232" s="45"/>
      <c r="J232" s="45"/>
      <c r="K232" s="12">
        <v>0</v>
      </c>
    </row>
    <row r="233" spans="1:11" ht="12.75">
      <c r="A233" t="s">
        <v>5</v>
      </c>
      <c r="D233" s="12"/>
      <c r="E233" s="12"/>
      <c r="K233" s="12"/>
    </row>
    <row r="234" spans="2:11" ht="12.75">
      <c r="B234" t="s">
        <v>27</v>
      </c>
      <c r="C234" s="2"/>
      <c r="D234" s="12">
        <f>'ticket prices'!H6</f>
        <v>41</v>
      </c>
      <c r="E234" s="12">
        <f t="shared" si="55"/>
        <v>24.599999999999998</v>
      </c>
      <c r="F234" s="12">
        <f>IF('Pass&amp;CardChoice'!$B$35,D234-E234,IF('Pass&amp;CardChoice'!$B$36,IF(NOT(OR('Pass&amp;CardChoice'!$B$12,'Pass&amp;CardChoice'!$B$13,'Pass&amp;CardChoice'!$B$14,'Pass&amp;CardChoice'!$B$15)),D234,0),0))</f>
        <v>0</v>
      </c>
      <c r="G234" s="19"/>
      <c r="H234" s="1">
        <f>CHOOSE('Rental type'!A5,'ticket prices'!H17,'ticket prices'!H24,0)</f>
        <v>0</v>
      </c>
      <c r="I234" s="1">
        <f t="shared" si="51"/>
        <v>0</v>
      </c>
      <c r="J234" s="1">
        <f aca="true" t="shared" si="69" ref="J234:J240">H234-I234</f>
        <v>0</v>
      </c>
      <c r="K234" s="12">
        <f aca="true" t="shared" si="70" ref="K234:K240">(C234*F234)+(G234*D234)+(C234*J234)+(G234*H234)</f>
        <v>0</v>
      </c>
    </row>
    <row r="235" spans="2:11" ht="12.75">
      <c r="B235" t="s">
        <v>28</v>
      </c>
      <c r="C235" s="2"/>
      <c r="D235" s="12">
        <f>D234</f>
        <v>41</v>
      </c>
      <c r="E235" s="12">
        <f t="shared" si="55"/>
        <v>24.599999999999998</v>
      </c>
      <c r="F235" s="12">
        <f>IF('Pass&amp;CardChoice'!$B$35,D235-E235,IF('Pass&amp;CardChoice'!$B$36,IF(NOT(OR('Pass&amp;CardChoice'!$B$12,'Pass&amp;CardChoice'!$B$13,'Pass&amp;CardChoice'!$B$14,'Pass&amp;CardChoice'!$B$15)),D235,0),0))</f>
        <v>0</v>
      </c>
      <c r="G235" s="19"/>
      <c r="H235" s="1">
        <f>H234</f>
        <v>0</v>
      </c>
      <c r="I235" s="1">
        <f t="shared" si="51"/>
        <v>0</v>
      </c>
      <c r="J235" s="1">
        <f t="shared" si="69"/>
        <v>0</v>
      </c>
      <c r="K235" s="12">
        <f t="shared" si="70"/>
        <v>0</v>
      </c>
    </row>
    <row r="236" spans="2:11" ht="12.75">
      <c r="B236" t="s">
        <v>43</v>
      </c>
      <c r="C236" s="2"/>
      <c r="D236" s="12">
        <f>D235</f>
        <v>41</v>
      </c>
      <c r="E236" s="12">
        <f t="shared" si="55"/>
        <v>24.599999999999998</v>
      </c>
      <c r="F236" s="12">
        <f>IF('Pass&amp;CardChoice'!$B$35,D236-E236,IF('Pass&amp;CardChoice'!$B$36,IF(NOT(OR('Pass&amp;CardChoice'!$B$12,'Pass&amp;CardChoice'!$B$13,'Pass&amp;CardChoice'!$B$14,'Pass&amp;CardChoice'!$B$15)),D236,0),0))</f>
        <v>0</v>
      </c>
      <c r="G236" s="19"/>
      <c r="H236" s="1">
        <f aca="true" t="shared" si="71" ref="H236:H241">H235</f>
        <v>0</v>
      </c>
      <c r="I236" s="1">
        <f t="shared" si="51"/>
        <v>0</v>
      </c>
      <c r="J236" s="1">
        <f>H236-I236</f>
        <v>0</v>
      </c>
      <c r="K236" s="12">
        <f t="shared" si="70"/>
        <v>0</v>
      </c>
    </row>
    <row r="237" spans="2:11" ht="12.75">
      <c r="B237" t="s">
        <v>44</v>
      </c>
      <c r="C237" s="2"/>
      <c r="D237" s="12">
        <f>D236</f>
        <v>41</v>
      </c>
      <c r="E237" s="12">
        <f t="shared" si="55"/>
        <v>24.599999999999998</v>
      </c>
      <c r="F237" s="12">
        <f>IF('Pass&amp;CardChoice'!$B$35,D237-E237,IF('Pass&amp;CardChoice'!$B$36,IF(NOT(OR('Pass&amp;CardChoice'!$B$12,'Pass&amp;CardChoice'!$B$13,'Pass&amp;CardChoice'!$B$14,'Pass&amp;CardChoice'!$B$15)),D237,0),0))</f>
        <v>0</v>
      </c>
      <c r="G237" s="19"/>
      <c r="H237" s="1">
        <f t="shared" si="71"/>
        <v>0</v>
      </c>
      <c r="I237" s="1">
        <f t="shared" si="51"/>
        <v>0</v>
      </c>
      <c r="J237" s="1">
        <f>H237-I237</f>
        <v>0</v>
      </c>
      <c r="K237" s="12">
        <f t="shared" si="70"/>
        <v>0</v>
      </c>
    </row>
    <row r="238" spans="2:11" ht="12.75">
      <c r="B238" t="s">
        <v>29</v>
      </c>
      <c r="C238" s="2"/>
      <c r="D238" s="12">
        <f>'ticket prices'!H10</f>
        <v>36</v>
      </c>
      <c r="E238" s="12">
        <f t="shared" si="55"/>
        <v>21.599999999999998</v>
      </c>
      <c r="F238" s="12">
        <f>IF('Pass&amp;CardChoice'!$B$35,D238-E238,IF('Pass&amp;CardChoice'!$B$36,IF(NOT(OR('Pass&amp;CardChoice'!$B$12,'Pass&amp;CardChoice'!$B$13,'Pass&amp;CardChoice'!$B$14,'Pass&amp;CardChoice'!$B$15)),D238,0),0))</f>
        <v>0</v>
      </c>
      <c r="G238" s="19"/>
      <c r="H238" s="1">
        <f t="shared" si="71"/>
        <v>0</v>
      </c>
      <c r="I238" s="1">
        <f t="shared" si="51"/>
        <v>0</v>
      </c>
      <c r="J238" s="1">
        <f t="shared" si="69"/>
        <v>0</v>
      </c>
      <c r="K238" s="12">
        <f t="shared" si="70"/>
        <v>0</v>
      </c>
    </row>
    <row r="239" spans="2:11" ht="12.75">
      <c r="B239" t="s">
        <v>30</v>
      </c>
      <c r="C239" s="2"/>
      <c r="D239" s="12">
        <f>D238</f>
        <v>36</v>
      </c>
      <c r="E239" s="12">
        <f t="shared" si="55"/>
        <v>21.599999999999998</v>
      </c>
      <c r="F239" s="12">
        <f>IF('Pass&amp;CardChoice'!$B$35,D239-E239,IF('Pass&amp;CardChoice'!$B$36,IF(NOT(OR('Pass&amp;CardChoice'!$B$12,'Pass&amp;CardChoice'!$B$13,'Pass&amp;CardChoice'!$B$14,'Pass&amp;CardChoice'!$B$15)),D239,0),0))</f>
        <v>0</v>
      </c>
      <c r="G239" s="19"/>
      <c r="H239" s="1">
        <f t="shared" si="71"/>
        <v>0</v>
      </c>
      <c r="I239" s="1">
        <f t="shared" si="51"/>
        <v>0</v>
      </c>
      <c r="J239" s="1">
        <f t="shared" si="69"/>
        <v>0</v>
      </c>
      <c r="K239" s="12">
        <f t="shared" si="70"/>
        <v>0</v>
      </c>
    </row>
    <row r="240" spans="2:11" ht="12.75">
      <c r="B240" t="s">
        <v>31</v>
      </c>
      <c r="C240" s="2"/>
      <c r="D240" s="12">
        <f>D239</f>
        <v>36</v>
      </c>
      <c r="E240" s="12">
        <f t="shared" si="55"/>
        <v>21.599999999999998</v>
      </c>
      <c r="F240" s="12">
        <f>IF('Pass&amp;CardChoice'!$B$35,D240-E240,IF('Pass&amp;CardChoice'!$B$36,IF(NOT(OR('Pass&amp;CardChoice'!$B$12,'Pass&amp;CardChoice'!$B$13,'Pass&amp;CardChoice'!$B$14,'Pass&amp;CardChoice'!$B$15)),D240,0),0))</f>
        <v>0</v>
      </c>
      <c r="G240" s="19"/>
      <c r="H240" s="1">
        <f t="shared" si="71"/>
        <v>0</v>
      </c>
      <c r="I240" s="1">
        <f t="shared" si="51"/>
        <v>0</v>
      </c>
      <c r="J240" s="1">
        <f t="shared" si="69"/>
        <v>0</v>
      </c>
      <c r="K240" s="12">
        <f t="shared" si="70"/>
        <v>0</v>
      </c>
    </row>
    <row r="241" spans="2:11" ht="12.75">
      <c r="B241" t="s">
        <v>191</v>
      </c>
      <c r="C241" s="2"/>
      <c r="D241" s="12">
        <f>D234/2</f>
        <v>20.5</v>
      </c>
      <c r="E241" s="12">
        <f>D241</f>
        <v>20.5</v>
      </c>
      <c r="F241" s="12">
        <f>IF('Pass&amp;CardChoice'!$B$35,D241-E241,IF('Pass&amp;CardChoice'!$B$36,IF(NOT(OR('Pass&amp;CardChoice'!$B$12,'Pass&amp;CardChoice'!$B$14,'Pass&amp;CardChoice'!$B$15)),D241,0),0))</f>
        <v>0</v>
      </c>
      <c r="G241" s="19"/>
      <c r="H241" s="1">
        <f t="shared" si="71"/>
        <v>0</v>
      </c>
      <c r="I241" s="1">
        <f t="shared" si="51"/>
        <v>0</v>
      </c>
      <c r="J241" s="1">
        <f>H241-I241</f>
        <v>0</v>
      </c>
      <c r="K241" s="12">
        <f>(C241*F241)+(G241*D241)+(C241*J241)+(G241*H241)</f>
        <v>0</v>
      </c>
    </row>
    <row r="242" spans="2:11" ht="12.75">
      <c r="B242" t="s">
        <v>163</v>
      </c>
      <c r="C242" s="2"/>
      <c r="D242" s="12">
        <f>D234</f>
        <v>41</v>
      </c>
      <c r="E242" s="12">
        <v>27</v>
      </c>
      <c r="F242" s="12">
        <f>IF('Pass&amp;CardChoice'!$B$7,D242-E242,0)</f>
        <v>0</v>
      </c>
      <c r="G242" s="45"/>
      <c r="H242" s="45"/>
      <c r="I242" s="45"/>
      <c r="J242" s="45"/>
      <c r="K242" s="12">
        <v>0</v>
      </c>
    </row>
    <row r="243" spans="2:11" ht="12.75">
      <c r="B243" t="s">
        <v>164</v>
      </c>
      <c r="C243" s="2"/>
      <c r="D243" s="12">
        <f>D238</f>
        <v>36</v>
      </c>
      <c r="E243" s="12">
        <v>23.4</v>
      </c>
      <c r="F243" s="12">
        <f>IF('Pass&amp;CardChoice'!$B$7,D243-E243,0)</f>
        <v>0</v>
      </c>
      <c r="G243" s="45"/>
      <c r="H243" s="45"/>
      <c r="I243" s="45"/>
      <c r="J243" s="45"/>
      <c r="K243" s="12">
        <v>0</v>
      </c>
    </row>
    <row r="244" spans="1:11" ht="13.5" customHeight="1">
      <c r="A244" t="s">
        <v>8</v>
      </c>
      <c r="D244" s="12"/>
      <c r="E244" s="12"/>
      <c r="K244" s="12"/>
    </row>
    <row r="245" spans="2:11" ht="12.75">
      <c r="B245" t="s">
        <v>27</v>
      </c>
      <c r="C245" s="2"/>
      <c r="D245" s="12">
        <f>'ticket prices'!H5</f>
        <v>36</v>
      </c>
      <c r="E245" s="12">
        <f t="shared" si="55"/>
        <v>21.599999999999998</v>
      </c>
      <c r="F245" s="12">
        <f>IF('Pass&amp;CardChoice'!$B$35,D245-E245,IF('Pass&amp;CardChoice'!$B$36,IF(NOT(OR('Pass&amp;CardChoice'!$B$12,'Pass&amp;CardChoice'!$B$13,'Pass&amp;CardChoice'!$B$14,'Pass&amp;CardChoice'!$B$15)),D245,0),0))</f>
        <v>0</v>
      </c>
      <c r="G245" s="19"/>
      <c r="H245" s="1">
        <f>CHOOSE('Rental type'!A5,'ticket prices'!H16,'ticket prices'!H23,0)</f>
        <v>0</v>
      </c>
      <c r="I245" s="1">
        <f t="shared" si="51"/>
        <v>0</v>
      </c>
      <c r="J245" s="1">
        <f aca="true" t="shared" si="72" ref="J245:J251">H245-I245</f>
        <v>0</v>
      </c>
      <c r="K245" s="12">
        <f aca="true" t="shared" si="73" ref="K245:K251">(C245*F245)+(G245*D245)+(C245*J245)+(G245*H245)</f>
        <v>0</v>
      </c>
    </row>
    <row r="246" spans="2:11" ht="12.75">
      <c r="B246" t="s">
        <v>28</v>
      </c>
      <c r="C246" s="2"/>
      <c r="D246" s="12">
        <f>D245</f>
        <v>36</v>
      </c>
      <c r="E246" s="12">
        <f t="shared" si="55"/>
        <v>21.599999999999998</v>
      </c>
      <c r="F246" s="12">
        <f>IF('Pass&amp;CardChoice'!$B$35,D246-E246,IF('Pass&amp;CardChoice'!$B$36,IF(NOT(OR('Pass&amp;CardChoice'!$B$12,'Pass&amp;CardChoice'!$B$13,'Pass&amp;CardChoice'!$B$14,'Pass&amp;CardChoice'!$B$15)),D246,0),0))</f>
        <v>0</v>
      </c>
      <c r="G246" s="19"/>
      <c r="H246" s="1">
        <f>H245</f>
        <v>0</v>
      </c>
      <c r="I246" s="1">
        <f t="shared" si="51"/>
        <v>0</v>
      </c>
      <c r="J246" s="1">
        <f t="shared" si="72"/>
        <v>0</v>
      </c>
      <c r="K246" s="12">
        <f t="shared" si="73"/>
        <v>0</v>
      </c>
    </row>
    <row r="247" spans="2:11" ht="12.75">
      <c r="B247" t="s">
        <v>43</v>
      </c>
      <c r="C247" s="2"/>
      <c r="D247" s="12">
        <f>D246</f>
        <v>36</v>
      </c>
      <c r="E247" s="12">
        <f t="shared" si="55"/>
        <v>21.599999999999998</v>
      </c>
      <c r="F247" s="12">
        <f>IF('Pass&amp;CardChoice'!$B$35,D247-E247,IF('Pass&amp;CardChoice'!$B$36,IF(NOT(OR('Pass&amp;CardChoice'!$B$12,'Pass&amp;CardChoice'!$B$13,'Pass&amp;CardChoice'!$B$14,'Pass&amp;CardChoice'!$B$15)),D247,0),0))</f>
        <v>0</v>
      </c>
      <c r="G247" s="19"/>
      <c r="H247" s="1">
        <f aca="true" t="shared" si="74" ref="H247:H252">H246</f>
        <v>0</v>
      </c>
      <c r="I247" s="1">
        <f t="shared" si="51"/>
        <v>0</v>
      </c>
      <c r="J247" s="1">
        <f>H247-I247</f>
        <v>0</v>
      </c>
      <c r="K247" s="12">
        <f t="shared" si="73"/>
        <v>0</v>
      </c>
    </row>
    <row r="248" spans="2:11" ht="12.75">
      <c r="B248" t="s">
        <v>44</v>
      </c>
      <c r="C248" s="2"/>
      <c r="D248" s="12">
        <f>D247</f>
        <v>36</v>
      </c>
      <c r="E248" s="12">
        <f t="shared" si="55"/>
        <v>21.599999999999998</v>
      </c>
      <c r="F248" s="12">
        <f>IF('Pass&amp;CardChoice'!$B$35,D248-E248,IF('Pass&amp;CardChoice'!$B$36,IF(NOT(OR('Pass&amp;CardChoice'!$B$12,'Pass&amp;CardChoice'!$B$13,'Pass&amp;CardChoice'!$B$14,'Pass&amp;CardChoice'!$B$15)),D248,0),0))</f>
        <v>0</v>
      </c>
      <c r="G248" s="19"/>
      <c r="H248" s="1">
        <f t="shared" si="74"/>
        <v>0</v>
      </c>
      <c r="I248" s="1">
        <f t="shared" si="51"/>
        <v>0</v>
      </c>
      <c r="J248" s="1">
        <f>H248-I248</f>
        <v>0</v>
      </c>
      <c r="K248" s="12">
        <f t="shared" si="73"/>
        <v>0</v>
      </c>
    </row>
    <row r="249" spans="2:11" ht="12.75">
      <c r="B249" t="s">
        <v>29</v>
      </c>
      <c r="C249" s="2"/>
      <c r="D249" s="12">
        <f>'ticket prices'!H9</f>
        <v>31</v>
      </c>
      <c r="E249" s="12">
        <f t="shared" si="55"/>
        <v>18.599999999999998</v>
      </c>
      <c r="F249" s="12">
        <f>IF('Pass&amp;CardChoice'!$B$35,D249-E249,IF('Pass&amp;CardChoice'!$B$36,IF(NOT(OR('Pass&amp;CardChoice'!$B$12,'Pass&amp;CardChoice'!$B$13,'Pass&amp;CardChoice'!$B$14,'Pass&amp;CardChoice'!$B$15)),D249,0),0))</f>
        <v>0</v>
      </c>
      <c r="G249" s="19"/>
      <c r="H249" s="1">
        <f t="shared" si="74"/>
        <v>0</v>
      </c>
      <c r="I249" s="1">
        <f t="shared" si="51"/>
        <v>0</v>
      </c>
      <c r="J249" s="1">
        <f t="shared" si="72"/>
        <v>0</v>
      </c>
      <c r="K249" s="12">
        <f t="shared" si="73"/>
        <v>0</v>
      </c>
    </row>
    <row r="250" spans="2:11" ht="12.75">
      <c r="B250" t="s">
        <v>30</v>
      </c>
      <c r="C250" s="2"/>
      <c r="D250" s="12">
        <f>D249</f>
        <v>31</v>
      </c>
      <c r="E250" s="12">
        <f t="shared" si="55"/>
        <v>18.599999999999998</v>
      </c>
      <c r="F250" s="12">
        <f>IF('Pass&amp;CardChoice'!$B$35,D250-E250,IF('Pass&amp;CardChoice'!$B$36,IF(NOT(OR('Pass&amp;CardChoice'!$B$12,'Pass&amp;CardChoice'!$B$13,'Pass&amp;CardChoice'!$B$14,'Pass&amp;CardChoice'!$B$15)),D250,0),0))</f>
        <v>0</v>
      </c>
      <c r="G250" s="19"/>
      <c r="H250" s="1">
        <f t="shared" si="74"/>
        <v>0</v>
      </c>
      <c r="I250" s="1">
        <f t="shared" si="51"/>
        <v>0</v>
      </c>
      <c r="J250" s="1">
        <f t="shared" si="72"/>
        <v>0</v>
      </c>
      <c r="K250" s="12">
        <f t="shared" si="73"/>
        <v>0</v>
      </c>
    </row>
    <row r="251" spans="2:11" ht="12.75">
      <c r="B251" t="s">
        <v>31</v>
      </c>
      <c r="C251" s="2"/>
      <c r="D251" s="12">
        <f>D250</f>
        <v>31</v>
      </c>
      <c r="E251" s="12">
        <f t="shared" si="55"/>
        <v>18.599999999999998</v>
      </c>
      <c r="F251" s="12">
        <f>IF('Pass&amp;CardChoice'!$B$35,D251-E251,IF('Pass&amp;CardChoice'!$B$36,IF(NOT(OR('Pass&amp;CardChoice'!$B$12,'Pass&amp;CardChoice'!$B$13,'Pass&amp;CardChoice'!$B$14,'Pass&amp;CardChoice'!$B$15)),D251,0),0))</f>
        <v>0</v>
      </c>
      <c r="G251" s="19"/>
      <c r="H251" s="1">
        <f t="shared" si="74"/>
        <v>0</v>
      </c>
      <c r="I251" s="1">
        <f t="shared" si="51"/>
        <v>0</v>
      </c>
      <c r="J251" s="1">
        <f t="shared" si="72"/>
        <v>0</v>
      </c>
      <c r="K251" s="12">
        <f t="shared" si="73"/>
        <v>0</v>
      </c>
    </row>
    <row r="252" spans="2:11" ht="12.75">
      <c r="B252" t="s">
        <v>191</v>
      </c>
      <c r="C252" s="2"/>
      <c r="D252" s="12">
        <f>D245/2</f>
        <v>18</v>
      </c>
      <c r="E252" s="12">
        <f>D252</f>
        <v>18</v>
      </c>
      <c r="F252" s="12">
        <f>IF('Pass&amp;CardChoice'!$B$35,D252-E252,IF('Pass&amp;CardChoice'!$B$36,IF(NOT(OR('Pass&amp;CardChoice'!$B$12,'Pass&amp;CardChoice'!$B$14,'Pass&amp;CardChoice'!$B$15)),D252,0),0))</f>
        <v>0</v>
      </c>
      <c r="G252" s="19"/>
      <c r="H252" s="1">
        <f t="shared" si="74"/>
        <v>0</v>
      </c>
      <c r="I252" s="1">
        <f t="shared" si="51"/>
        <v>0</v>
      </c>
      <c r="J252" s="1">
        <f>H252-I252</f>
        <v>0</v>
      </c>
      <c r="K252" s="12">
        <f>(C252*F252)+(G252*D252)+(C252*J252)+(G252*H252)</f>
        <v>0</v>
      </c>
    </row>
    <row r="253" spans="2:11" ht="12.75">
      <c r="B253" t="s">
        <v>163</v>
      </c>
      <c r="C253" s="2"/>
      <c r="D253" s="12">
        <f>D245</f>
        <v>36</v>
      </c>
      <c r="E253" s="12">
        <v>27</v>
      </c>
      <c r="F253" s="12">
        <f>IF('Pass&amp;CardChoice'!$B$7,D253-E253,0)</f>
        <v>0</v>
      </c>
      <c r="G253" s="45"/>
      <c r="H253" s="45"/>
      <c r="I253" s="45"/>
      <c r="J253" s="45"/>
      <c r="K253" s="12">
        <v>0</v>
      </c>
    </row>
    <row r="254" spans="2:11" ht="12.75">
      <c r="B254" t="s">
        <v>164</v>
      </c>
      <c r="C254" s="2"/>
      <c r="D254" s="12">
        <f>D249</f>
        <v>31</v>
      </c>
      <c r="E254" s="12">
        <v>23.4</v>
      </c>
      <c r="F254" s="12">
        <f>IF('Pass&amp;CardChoice'!$B$7,D254-E254,0)</f>
        <v>0</v>
      </c>
      <c r="G254" s="45"/>
      <c r="H254" s="45"/>
      <c r="I254" s="45"/>
      <c r="J254" s="45"/>
      <c r="K254" s="12">
        <v>0</v>
      </c>
    </row>
    <row r="255" spans="1:11" ht="12.75">
      <c r="A255" t="s">
        <v>15</v>
      </c>
      <c r="C255" s="28"/>
      <c r="D255" s="12"/>
      <c r="E255" s="12"/>
      <c r="K255" s="16"/>
    </row>
    <row r="256" spans="2:11" ht="12.75">
      <c r="B256" t="s">
        <v>1</v>
      </c>
      <c r="C256" s="2"/>
      <c r="D256" s="12">
        <f>'ticket prices'!H27</f>
        <v>28</v>
      </c>
      <c r="E256" s="12">
        <f>0.6*D256</f>
        <v>16.8</v>
      </c>
      <c r="F256" s="12">
        <f>IF('Pass&amp;CardChoice'!$B$35,D256-E256,IF('Pass&amp;CardChoice'!$B$36,0.5*D256,0))</f>
        <v>0</v>
      </c>
      <c r="K256" s="16">
        <f>C256*F256</f>
        <v>0</v>
      </c>
    </row>
    <row r="257" spans="2:11" ht="12.75">
      <c r="B257" t="s">
        <v>174</v>
      </c>
      <c r="C257" s="2"/>
      <c r="D257" s="12">
        <v>33</v>
      </c>
      <c r="E257" s="12">
        <f>0.6*D257</f>
        <v>19.8</v>
      </c>
      <c r="F257" s="12">
        <f>IF('Pass&amp;CardChoice'!$B$35,D257-E257,IF('Pass&amp;CardChoice'!$B$36,0.5*D257,0))</f>
        <v>0</v>
      </c>
      <c r="K257" s="16">
        <f>C257*F257</f>
        <v>0</v>
      </c>
    </row>
    <row r="258" spans="6:10" ht="12.75">
      <c r="F258"/>
      <c r="G258"/>
      <c r="H258"/>
      <c r="I258"/>
      <c r="J258"/>
    </row>
    <row r="259" ht="12.75">
      <c r="K259" s="17">
        <f>SUM(K178:K258)</f>
        <v>0</v>
      </c>
    </row>
    <row r="260" spans="3:11" ht="24" customHeight="1">
      <c r="C260" t="s">
        <v>90</v>
      </c>
      <c r="G260" s="1" t="s">
        <v>65</v>
      </c>
      <c r="K260" s="1" t="s">
        <v>24</v>
      </c>
    </row>
    <row r="261" spans="3:7" ht="12.75">
      <c r="C261">
        <f>SUM(C13:C258)</f>
        <v>0</v>
      </c>
      <c r="G261" s="1">
        <f>SUM(G14:G252)</f>
        <v>0</v>
      </c>
    </row>
  </sheetData>
  <printOptions/>
  <pageMargins left="0.75" right="0.75" top="1" bottom="1" header="0.5" footer="0.5"/>
  <pageSetup horizontalDpi="720" verticalDpi="720" orientation="landscape" r:id="rId3"/>
  <headerFooter alignWithMargins="0">
    <oddHeader>&amp;C&amp;"Arial,Bold"&amp;20Advantage Card Savings Calculator</oddHeader>
  </headerFooter>
  <ignoredErrors>
    <ignoredError sqref="D18 D29 D40 D51 D62 D73 D84 D100 D111 D122 D133 D144 D155 D166 D183 D194 D205 D216 D227 D238 D249 F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6"/>
  <sheetViews>
    <sheetView workbookViewId="0" topLeftCell="A1">
      <selection activeCell="A1" sqref="A1"/>
    </sheetView>
  </sheetViews>
  <sheetFormatPr defaultColWidth="9.140625" defaultRowHeight="12.75"/>
  <cols>
    <col min="2" max="2" width="9.140625" style="29" customWidth="1"/>
    <col min="3" max="3" width="23.7109375" style="0" customWidth="1"/>
    <col min="6" max="6" width="9.140625" style="29" customWidth="1"/>
    <col min="7" max="7" width="18.00390625" style="0" customWidth="1"/>
    <col min="9" max="9" width="9.140625" style="29" customWidth="1"/>
    <col min="10" max="10" width="14.421875" style="0" customWidth="1"/>
  </cols>
  <sheetData>
    <row r="1" ht="37.5" customHeight="1">
      <c r="B1" s="29">
        <v>1</v>
      </c>
    </row>
    <row r="2" ht="12.75"/>
    <row r="3" ht="39.75" customHeight="1">
      <c r="B3" s="29">
        <v>1</v>
      </c>
    </row>
    <row r="4" spans="1:10" ht="12.75">
      <c r="A4" t="s">
        <v>55</v>
      </c>
      <c r="D4" t="s">
        <v>56</v>
      </c>
      <c r="H4" t="s">
        <v>56</v>
      </c>
      <c r="J4" t="s">
        <v>99</v>
      </c>
    </row>
    <row r="5" spans="1:8" ht="28.5" customHeight="1">
      <c r="A5">
        <f>IF(B5,D5+(IF(F5,H5,0)+IF($B$3=1,-5,0)+IF($B$1=1,-30,0)),0)</f>
        <v>0</v>
      </c>
      <c r="B5" s="29" t="b">
        <v>0</v>
      </c>
      <c r="D5" s="24">
        <v>114</v>
      </c>
      <c r="H5" s="24">
        <v>45</v>
      </c>
    </row>
    <row r="6" spans="1:8" ht="28.5" customHeight="1">
      <c r="A6">
        <f>IF(B6,D6+(F6*H6)+IF($B$3=1,-5,0)+IF($B$1=1,-35,0),0)</f>
        <v>0</v>
      </c>
      <c r="B6" s="29" t="b">
        <v>0</v>
      </c>
      <c r="D6" s="24">
        <v>194</v>
      </c>
      <c r="F6" s="30">
        <f>'Rental type'!A15</f>
        <v>0</v>
      </c>
      <c r="G6" t="s">
        <v>73</v>
      </c>
      <c r="H6" s="24">
        <v>45</v>
      </c>
    </row>
    <row r="7" spans="1:4" ht="28.5" customHeight="1">
      <c r="A7">
        <f>IF(B7,D7,0)</f>
        <v>0</v>
      </c>
      <c r="B7" s="29" t="b">
        <v>0</v>
      </c>
      <c r="D7" s="24">
        <v>39</v>
      </c>
    </row>
    <row r="8" spans="1:4" ht="28.5" customHeight="1">
      <c r="A8">
        <f>IF(B8,D8,0)</f>
        <v>0</v>
      </c>
      <c r="B8" s="29" t="b">
        <v>0</v>
      </c>
      <c r="D8" s="24">
        <v>39</v>
      </c>
    </row>
    <row r="9" spans="1:9" ht="28.5" customHeight="1">
      <c r="A9">
        <f>IF(B9,D9+(IF(F9,(0.05*D9),0)+IF($B$3=1,-25,0)+IF($B$1=1,-100,0)+IF(I9,40,0)),0)</f>
        <v>0</v>
      </c>
      <c r="B9" s="29" t="b">
        <v>0</v>
      </c>
      <c r="D9" s="24">
        <v>645</v>
      </c>
      <c r="H9" s="22">
        <v>0.05</v>
      </c>
      <c r="I9" s="29" t="b">
        <v>0</v>
      </c>
    </row>
    <row r="10" spans="1:9" ht="28.5" customHeight="1">
      <c r="A10">
        <f>IF(B10,D10+(IF(F10,(0.05*D10),0)+IF($B$3=1,-25,0)+IF($B$1=1,-100,0)+IF(I10,40,0)),0)</f>
        <v>0</v>
      </c>
      <c r="B10" s="29" t="b">
        <v>0</v>
      </c>
      <c r="D10" s="24">
        <v>545</v>
      </c>
      <c r="H10" s="22">
        <v>0.05</v>
      </c>
      <c r="I10" s="29" t="b">
        <v>0</v>
      </c>
    </row>
    <row r="11" spans="1:9" ht="28.5" customHeight="1">
      <c r="A11">
        <f>IF(B11,D11+(IF(F11,(0.05*D11),0)+IF($B$3=1,-25,0)+IF($B$1=1,-100,0)+IF(I11,40,0)),0)</f>
        <v>0</v>
      </c>
      <c r="B11" s="29" t="b">
        <v>0</v>
      </c>
      <c r="D11" s="24">
        <v>545</v>
      </c>
      <c r="H11" s="22">
        <v>0.05</v>
      </c>
      <c r="I11" s="29" t="b">
        <v>0</v>
      </c>
    </row>
    <row r="12" spans="1:9" ht="28.5" customHeight="1">
      <c r="A12">
        <f>IF(B12,D12+(IF(F12,(0.05*D12),0)+IF($B$3=1,-25,0)+IF($B$1=1,-100,0)+IF(I12,40,0)),0)</f>
        <v>0</v>
      </c>
      <c r="B12" s="29" t="b">
        <v>0</v>
      </c>
      <c r="D12" s="24">
        <v>349</v>
      </c>
      <c r="H12" s="22">
        <v>0.05</v>
      </c>
      <c r="I12" s="29" t="b">
        <v>0</v>
      </c>
    </row>
    <row r="13" spans="1:9" ht="28.5" customHeight="1">
      <c r="A13">
        <f>IF(B13,D13+(IF(F13,(0.05*D13),0)+IF($B$3=1,-25,0)+IF(I13,40,0)),0)</f>
        <v>0</v>
      </c>
      <c r="B13" s="29" t="b">
        <v>0</v>
      </c>
      <c r="D13" s="24">
        <v>199</v>
      </c>
      <c r="H13" s="22">
        <v>0.05</v>
      </c>
      <c r="I13" s="29" t="b">
        <v>0</v>
      </c>
    </row>
    <row r="14" spans="1:9" ht="28.5" customHeight="1">
      <c r="A14">
        <f>IF(B14,D14+(IF(F14,(0.05*D14),0)+IF($B$3=1,-25,0)+IF($B$1=1,-100,0)+IF(I14,40,0)),0)</f>
        <v>0</v>
      </c>
      <c r="B14" s="29" t="b">
        <v>0</v>
      </c>
      <c r="D14" s="24">
        <v>399</v>
      </c>
      <c r="H14" s="22">
        <v>0.05</v>
      </c>
      <c r="I14" s="29" t="b">
        <v>0</v>
      </c>
    </row>
    <row r="15" spans="1:9" ht="28.5" customHeight="1">
      <c r="A15">
        <f>IF(B15,D15+(IF(F15,(0.05*D15),0)+IF($B$3=1,-25,0)+IF($B$1=1,-100,0)+IF(I15,40,0)),0)</f>
        <v>0</v>
      </c>
      <c r="B15" s="29" t="b">
        <v>0</v>
      </c>
      <c r="D15" s="24">
        <v>355</v>
      </c>
      <c r="H15" s="22">
        <v>0.05</v>
      </c>
      <c r="I15" s="29" t="b">
        <v>0</v>
      </c>
    </row>
    <row r="16" spans="1:9" ht="28.5" customHeight="1">
      <c r="A16">
        <f aca="true" t="shared" si="0" ref="A16:A22">IF(B16,D16+(IF(F16,(0.05*D16),0)+IF($B$1=1,-100,0)+IF(I16,40,0)),0)</f>
        <v>0</v>
      </c>
      <c r="B16" s="29" t="b">
        <v>0</v>
      </c>
      <c r="D16" s="24">
        <v>485</v>
      </c>
      <c r="H16" s="22">
        <v>0.05</v>
      </c>
      <c r="I16" s="29" t="b">
        <v>0</v>
      </c>
    </row>
    <row r="17" spans="1:9" ht="28.5" customHeight="1">
      <c r="A17">
        <f t="shared" si="0"/>
        <v>0</v>
      </c>
      <c r="B17" s="29" t="b">
        <v>0</v>
      </c>
      <c r="D17" s="24">
        <v>385</v>
      </c>
      <c r="H17" s="22">
        <v>0.05</v>
      </c>
      <c r="I17" s="29" t="b">
        <v>0</v>
      </c>
    </row>
    <row r="18" spans="1:9" ht="28.5" customHeight="1">
      <c r="A18">
        <f t="shared" si="0"/>
        <v>0</v>
      </c>
      <c r="B18" s="29" t="b">
        <v>0</v>
      </c>
      <c r="D18" s="24">
        <v>385</v>
      </c>
      <c r="H18" s="22">
        <v>0.05</v>
      </c>
      <c r="I18" s="29" t="b">
        <v>0</v>
      </c>
    </row>
    <row r="19" spans="1:9" ht="28.5" customHeight="1">
      <c r="A19">
        <f t="shared" si="0"/>
        <v>0</v>
      </c>
      <c r="B19" s="29" t="b">
        <v>0</v>
      </c>
      <c r="D19" s="24">
        <v>385</v>
      </c>
      <c r="H19" s="22">
        <v>0.05</v>
      </c>
      <c r="I19" s="29" t="b">
        <v>0</v>
      </c>
    </row>
    <row r="20" spans="1:9" ht="28.5" customHeight="1">
      <c r="A20">
        <f t="shared" si="0"/>
        <v>0</v>
      </c>
      <c r="B20" s="29" t="b">
        <v>0</v>
      </c>
      <c r="D20" s="24">
        <v>385</v>
      </c>
      <c r="H20" s="22">
        <v>0.05</v>
      </c>
      <c r="I20" s="29" t="b">
        <v>0</v>
      </c>
    </row>
    <row r="21" spans="1:9" ht="28.5" customHeight="1">
      <c r="A21">
        <f t="shared" si="0"/>
        <v>0</v>
      </c>
      <c r="B21" s="29" t="b">
        <v>0</v>
      </c>
      <c r="D21" s="24">
        <v>385</v>
      </c>
      <c r="H21" s="22">
        <v>0.05</v>
      </c>
      <c r="I21" s="29" t="b">
        <v>0</v>
      </c>
    </row>
    <row r="22" spans="1:9" ht="28.5" customHeight="1">
      <c r="A22">
        <f t="shared" si="0"/>
        <v>0</v>
      </c>
      <c r="B22" s="29" t="b">
        <v>0</v>
      </c>
      <c r="D22" s="24">
        <v>385</v>
      </c>
      <c r="H22" s="22">
        <v>0.05</v>
      </c>
      <c r="I22" s="29" t="b">
        <v>0</v>
      </c>
    </row>
    <row r="24" spans="1:2" ht="12.75">
      <c r="A24">
        <f>SUM(A5:A23)</f>
        <v>0</v>
      </c>
      <c r="B24" s="43" t="s">
        <v>97</v>
      </c>
    </row>
    <row r="25" ht="12.75">
      <c r="B25" s="29" t="b">
        <v>1</v>
      </c>
    </row>
    <row r="26" ht="12.75"/>
    <row r="27" ht="12.75"/>
    <row r="29" ht="12.75">
      <c r="C29" t="s">
        <v>95</v>
      </c>
    </row>
    <row r="30" ht="12.75">
      <c r="C30" t="s">
        <v>98</v>
      </c>
    </row>
    <row r="31" ht="12.75">
      <c r="C31" t="s">
        <v>92</v>
      </c>
    </row>
    <row r="32" ht="12.75">
      <c r="C32" t="s">
        <v>96</v>
      </c>
    </row>
    <row r="33" ht="12.75">
      <c r="C33" t="s">
        <v>100</v>
      </c>
    </row>
    <row r="35" spans="2:3" ht="12.75">
      <c r="B35" s="29" t="b">
        <f>OR(B5,B6,B7,B8)</f>
        <v>0</v>
      </c>
      <c r="C35" t="s">
        <v>167</v>
      </c>
    </row>
    <row r="36" spans="2:3" ht="12.75">
      <c r="B36" s="29" t="b">
        <f>OR(B9,B10,B11,B12,B13,B14,B15,B16,B18,B19,B20,B21,B22)</f>
        <v>0</v>
      </c>
      <c r="C36" t="s">
        <v>168</v>
      </c>
    </row>
  </sheetData>
  <printOptions/>
  <pageMargins left="0.75" right="0.75" top="1" bottom="1" header="0.5" footer="0.5"/>
  <pageSetup horizontalDpi="300" verticalDpi="300" orientation="portrait" r:id="rId3"/>
  <ignoredErrors>
    <ignoredError sqref="A1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4:F15"/>
  <sheetViews>
    <sheetView workbookViewId="0" topLeftCell="A1">
      <selection activeCell="A15" sqref="A15"/>
    </sheetView>
  </sheetViews>
  <sheetFormatPr defaultColWidth="9.140625" defaultRowHeight="12.75"/>
  <cols>
    <col min="1" max="1" width="9.140625" style="29" customWidth="1"/>
    <col min="3" max="3" width="13.421875" style="0" customWidth="1"/>
    <col min="4" max="4" width="19.57421875" style="0" customWidth="1"/>
    <col min="5" max="5" width="19.140625" style="0" customWidth="1"/>
  </cols>
  <sheetData>
    <row r="4" ht="12.75">
      <c r="B4" t="s">
        <v>67</v>
      </c>
    </row>
    <row r="5" spans="1:6" ht="41.25" customHeight="1">
      <c r="A5" s="29">
        <v>3</v>
      </c>
      <c r="B5" t="s">
        <v>27</v>
      </c>
      <c r="F5" s="35">
        <f>IF(AND(A5&lt;3,'Pass&amp;CardChoice'!B5,NOT('Pass&amp;CardChoice'!F5)),"Please select the rental option on the card choice sheet","")</f>
      </c>
    </row>
    <row r="6" spans="1:2" ht="41.25" customHeight="1">
      <c r="A6" s="29">
        <v>3</v>
      </c>
      <c r="B6" t="s">
        <v>28</v>
      </c>
    </row>
    <row r="7" spans="1:2" ht="41.25" customHeight="1">
      <c r="A7" s="29">
        <v>3</v>
      </c>
      <c r="B7" t="s">
        <v>43</v>
      </c>
    </row>
    <row r="8" spans="1:2" ht="41.25" customHeight="1">
      <c r="A8" s="29">
        <v>3</v>
      </c>
      <c r="B8" t="s">
        <v>44</v>
      </c>
    </row>
    <row r="9" spans="1:2" ht="41.25" customHeight="1">
      <c r="A9" s="29">
        <v>3</v>
      </c>
      <c r="B9" t="s">
        <v>29</v>
      </c>
    </row>
    <row r="10" spans="1:2" ht="41.25" customHeight="1">
      <c r="A10" s="29">
        <v>3</v>
      </c>
      <c r="B10" t="s">
        <v>30</v>
      </c>
    </row>
    <row r="11" spans="1:2" ht="41.25" customHeight="1">
      <c r="A11" s="29">
        <v>3</v>
      </c>
      <c r="B11" t="s">
        <v>31</v>
      </c>
    </row>
    <row r="12" spans="1:2" ht="40.5" customHeight="1">
      <c r="A12" s="29">
        <v>3</v>
      </c>
      <c r="B12" t="s">
        <v>53</v>
      </c>
    </row>
    <row r="13" ht="12.75"/>
    <row r="15" spans="1:2" ht="12.75">
      <c r="A15" s="30">
        <f>IF(A5&lt;3,1,0)+IF(A6&lt;3,1,0)+IF(A7&lt;3,1,0)+IF(A8&lt;3,1,0)+IF(A9&lt;3,1,0)+IF(A10&lt;3,1,0)+IF(A11&lt;3,1,0)+IF(A12&lt;3,1,0)</f>
        <v>0</v>
      </c>
      <c r="B15" t="s">
        <v>77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K46"/>
  <sheetViews>
    <sheetView tabSelected="1" workbookViewId="0" topLeftCell="A13">
      <selection activeCell="A27" sqref="A27"/>
    </sheetView>
  </sheetViews>
  <sheetFormatPr defaultColWidth="9.140625" defaultRowHeight="12.75"/>
  <cols>
    <col min="1" max="1" width="42.140625" style="0" customWidth="1"/>
    <col min="2" max="2" width="8.8515625" style="0" customWidth="1"/>
    <col min="3" max="3" width="11.421875" style="48" customWidth="1"/>
    <col min="4" max="4" width="9.28125" style="0" customWidth="1"/>
    <col min="6" max="6" width="12.140625" style="0" customWidth="1"/>
    <col min="9" max="9" width="11.7109375" style="0" customWidth="1"/>
  </cols>
  <sheetData>
    <row r="1" spans="2:11" ht="12.75">
      <c r="B1" t="s">
        <v>1</v>
      </c>
      <c r="E1" t="s">
        <v>53</v>
      </c>
      <c r="H1" t="s">
        <v>159</v>
      </c>
      <c r="K1" t="s">
        <v>0</v>
      </c>
    </row>
    <row r="2" spans="1:10" s="46" customFormat="1" ht="24.75" customHeight="1">
      <c r="A2" s="46" t="s">
        <v>127</v>
      </c>
      <c r="B2" s="46" t="s">
        <v>56</v>
      </c>
      <c r="C2" s="49" t="s">
        <v>128</v>
      </c>
      <c r="D2" s="46" t="s">
        <v>129</v>
      </c>
      <c r="E2" s="46" t="s">
        <v>56</v>
      </c>
      <c r="F2" s="46" t="s">
        <v>128</v>
      </c>
      <c r="G2" s="46" t="s">
        <v>129</v>
      </c>
      <c r="H2" s="46" t="s">
        <v>56</v>
      </c>
      <c r="I2" s="46" t="s">
        <v>128</v>
      </c>
      <c r="J2" s="46" t="s">
        <v>129</v>
      </c>
    </row>
    <row r="3" ht="12.75"/>
    <row r="4" ht="12.75">
      <c r="A4" t="s">
        <v>121</v>
      </c>
    </row>
    <row r="5" ht="12.75">
      <c r="A5" t="s">
        <v>144</v>
      </c>
    </row>
    <row r="6" spans="1:9" ht="12.75">
      <c r="A6" s="51" t="s">
        <v>140</v>
      </c>
      <c r="B6">
        <v>44</v>
      </c>
      <c r="C6" s="48">
        <f>B6-10</f>
        <v>34</v>
      </c>
      <c r="E6">
        <v>36</v>
      </c>
      <c r="F6" s="48">
        <f>E6-10</f>
        <v>26</v>
      </c>
      <c r="H6">
        <v>36</v>
      </c>
      <c r="I6" s="48">
        <f>H6-10</f>
        <v>26</v>
      </c>
    </row>
    <row r="7" spans="1:9" ht="12.75">
      <c r="A7" s="47" t="s">
        <v>141</v>
      </c>
      <c r="B7">
        <v>44</v>
      </c>
      <c r="C7" s="48">
        <f>B7*0.5</f>
        <v>22</v>
      </c>
      <c r="E7">
        <v>36</v>
      </c>
      <c r="F7" s="48">
        <f>E7*0.5</f>
        <v>18</v>
      </c>
      <c r="H7">
        <v>36</v>
      </c>
      <c r="I7" s="48">
        <f>H7*0.5</f>
        <v>18</v>
      </c>
    </row>
    <row r="8" spans="1:9" ht="12.75">
      <c r="A8" s="51" t="s">
        <v>135</v>
      </c>
      <c r="B8">
        <v>186</v>
      </c>
      <c r="C8" s="48">
        <f>0.5*B8</f>
        <v>93</v>
      </c>
      <c r="E8">
        <v>186</v>
      </c>
      <c r="F8" s="48">
        <f>0.5*E8</f>
        <v>93</v>
      </c>
      <c r="H8">
        <v>141</v>
      </c>
      <c r="I8" s="48">
        <f>0.5*H8</f>
        <v>70.5</v>
      </c>
    </row>
    <row r="9" spans="1:9" ht="12.75">
      <c r="A9" s="51" t="s">
        <v>138</v>
      </c>
      <c r="B9">
        <v>40</v>
      </c>
      <c r="C9" s="48">
        <f>B9-10</f>
        <v>30</v>
      </c>
      <c r="E9">
        <v>22.5</v>
      </c>
      <c r="F9" s="48">
        <f>E9-10</f>
        <v>12.5</v>
      </c>
      <c r="H9">
        <v>25</v>
      </c>
      <c r="I9" s="48">
        <f>H9-10</f>
        <v>15</v>
      </c>
    </row>
    <row r="10" spans="1:9" ht="12.75">
      <c r="A10" s="47" t="s">
        <v>139</v>
      </c>
      <c r="B10">
        <v>32</v>
      </c>
      <c r="C10" s="48">
        <f>B10*0.5</f>
        <v>16</v>
      </c>
      <c r="E10">
        <v>18.5</v>
      </c>
      <c r="F10" s="48">
        <f>E10*0.5</f>
        <v>9.25</v>
      </c>
      <c r="H10">
        <v>21</v>
      </c>
      <c r="I10" s="48">
        <f>H10*0.5</f>
        <v>10.5</v>
      </c>
    </row>
    <row r="11" spans="1:9" ht="12.75">
      <c r="A11" s="51" t="s">
        <v>145</v>
      </c>
      <c r="B11">
        <v>44</v>
      </c>
      <c r="C11" s="48">
        <f>B11-10</f>
        <v>34</v>
      </c>
      <c r="E11">
        <v>44</v>
      </c>
      <c r="F11" s="48">
        <f>E11-10</f>
        <v>34</v>
      </c>
      <c r="H11">
        <v>32</v>
      </c>
      <c r="I11" s="48">
        <f>H11-10</f>
        <v>22</v>
      </c>
    </row>
    <row r="12" spans="1:9" ht="12.75">
      <c r="A12" s="47" t="s">
        <v>146</v>
      </c>
      <c r="B12">
        <v>38</v>
      </c>
      <c r="C12" s="48">
        <f>B12*0.5</f>
        <v>19</v>
      </c>
      <c r="E12">
        <v>29</v>
      </c>
      <c r="F12" s="48">
        <f>E12*0.5</f>
        <v>14.5</v>
      </c>
      <c r="H12">
        <v>28</v>
      </c>
      <c r="I12" s="48">
        <f>H12*0.5</f>
        <v>14</v>
      </c>
    </row>
    <row r="13" spans="1:9" ht="12.75">
      <c r="A13" s="51" t="s">
        <v>147</v>
      </c>
      <c r="B13">
        <v>56</v>
      </c>
      <c r="C13" s="48">
        <f>B13-10</f>
        <v>46</v>
      </c>
      <c r="E13">
        <v>15</v>
      </c>
      <c r="F13" s="48">
        <f>E13-10</f>
        <v>5</v>
      </c>
      <c r="H13">
        <v>42</v>
      </c>
      <c r="I13" s="48">
        <f>H13-10</f>
        <v>32</v>
      </c>
    </row>
    <row r="14" spans="1:9" ht="12.75">
      <c r="A14" s="47" t="s">
        <v>148</v>
      </c>
      <c r="B14">
        <v>56</v>
      </c>
      <c r="C14" s="48">
        <f>B14*0.5</f>
        <v>28</v>
      </c>
      <c r="E14">
        <v>15</v>
      </c>
      <c r="F14" s="48">
        <f>E14*0.5</f>
        <v>7.5</v>
      </c>
      <c r="H14">
        <v>42</v>
      </c>
      <c r="I14" s="48">
        <f>H14*0.5</f>
        <v>21</v>
      </c>
    </row>
    <row r="15" spans="1:9" ht="12.75">
      <c r="A15" s="51" t="s">
        <v>149</v>
      </c>
      <c r="B15">
        <v>52</v>
      </c>
      <c r="C15" s="48">
        <f>B15-10</f>
        <v>42</v>
      </c>
      <c r="E15">
        <v>36</v>
      </c>
      <c r="F15" s="48">
        <f>E15-10</f>
        <v>26</v>
      </c>
      <c r="H15">
        <v>36</v>
      </c>
      <c r="I15" s="48">
        <f>H15-10</f>
        <v>26</v>
      </c>
    </row>
    <row r="16" spans="1:9" ht="12.75">
      <c r="A16" s="47" t="s">
        <v>150</v>
      </c>
      <c r="B16">
        <v>40</v>
      </c>
      <c r="C16" s="48">
        <f>B16*0.5</f>
        <v>20</v>
      </c>
      <c r="E16">
        <v>32</v>
      </c>
      <c r="F16" s="48">
        <f>E16*0.5</f>
        <v>16</v>
      </c>
      <c r="H16">
        <v>32</v>
      </c>
      <c r="I16" s="48">
        <f>H16*0.5</f>
        <v>16</v>
      </c>
    </row>
    <row r="17" spans="1:9" ht="12.75">
      <c r="A17" s="51" t="s">
        <v>151</v>
      </c>
      <c r="B17">
        <v>44</v>
      </c>
      <c r="C17" s="48">
        <f>B17-10</f>
        <v>34</v>
      </c>
      <c r="E17">
        <v>36</v>
      </c>
      <c r="F17" s="48">
        <f>E17-10</f>
        <v>26</v>
      </c>
      <c r="H17">
        <v>28</v>
      </c>
      <c r="I17" s="48">
        <f>H17-10</f>
        <v>18</v>
      </c>
    </row>
    <row r="18" spans="1:9" ht="12.75">
      <c r="A18" s="47" t="s">
        <v>152</v>
      </c>
      <c r="B18">
        <v>38</v>
      </c>
      <c r="C18" s="48">
        <f>B18*0.5</f>
        <v>19</v>
      </c>
      <c r="E18">
        <v>32</v>
      </c>
      <c r="F18" s="48">
        <f>E18*0.5</f>
        <v>16</v>
      </c>
      <c r="H18">
        <v>24</v>
      </c>
      <c r="I18" s="48">
        <f>H18*0.5</f>
        <v>12</v>
      </c>
    </row>
    <row r="19" spans="1:9" ht="12.75">
      <c r="A19" s="51" t="s">
        <v>155</v>
      </c>
      <c r="B19">
        <v>51</v>
      </c>
      <c r="C19" s="48">
        <f>B19-10</f>
        <v>41</v>
      </c>
      <c r="E19">
        <v>51</v>
      </c>
      <c r="F19" s="48">
        <f>E19-10</f>
        <v>41</v>
      </c>
      <c r="H19">
        <v>34</v>
      </c>
      <c r="I19" s="48">
        <f>H19-10</f>
        <v>24</v>
      </c>
    </row>
    <row r="20" spans="1:9" ht="12.75">
      <c r="A20" s="47" t="s">
        <v>156</v>
      </c>
      <c r="B20">
        <v>48</v>
      </c>
      <c r="C20" s="48">
        <f>B20*0.5</f>
        <v>24</v>
      </c>
      <c r="E20">
        <v>48</v>
      </c>
      <c r="F20" s="48">
        <f>E20*0.5</f>
        <v>24</v>
      </c>
      <c r="H20">
        <v>30</v>
      </c>
      <c r="I20" s="48">
        <f>H20*0.5</f>
        <v>15</v>
      </c>
    </row>
    <row r="21" spans="1:9" ht="12.75">
      <c r="A21" s="51" t="s">
        <v>153</v>
      </c>
      <c r="B21">
        <v>67</v>
      </c>
      <c r="C21" s="48">
        <f>B21-10</f>
        <v>57</v>
      </c>
      <c r="E21">
        <v>57</v>
      </c>
      <c r="F21" s="48">
        <f>E21-10</f>
        <v>47</v>
      </c>
      <c r="H21">
        <v>44</v>
      </c>
      <c r="I21" s="48">
        <f>H21-10</f>
        <v>34</v>
      </c>
    </row>
    <row r="22" spans="1:9" ht="12.75">
      <c r="A22" s="47" t="s">
        <v>154</v>
      </c>
      <c r="B22">
        <v>61</v>
      </c>
      <c r="C22" s="48">
        <f>B22*0.5</f>
        <v>30.5</v>
      </c>
      <c r="E22">
        <v>52</v>
      </c>
      <c r="F22" s="48">
        <f>E22*0.5</f>
        <v>26</v>
      </c>
      <c r="H22">
        <v>40</v>
      </c>
      <c r="I22" s="48">
        <f>H22*0.5</f>
        <v>20</v>
      </c>
    </row>
    <row r="23" spans="1:9" ht="12.75">
      <c r="A23" s="51" t="s">
        <v>157</v>
      </c>
      <c r="B23">
        <v>44</v>
      </c>
      <c r="C23" s="48">
        <f>B23-10</f>
        <v>34</v>
      </c>
      <c r="E23">
        <v>30</v>
      </c>
      <c r="F23" s="48">
        <f>E23-10</f>
        <v>20</v>
      </c>
      <c r="H23">
        <v>30</v>
      </c>
      <c r="I23" s="48">
        <f>H23-10</f>
        <v>20</v>
      </c>
    </row>
    <row r="24" spans="1:9" ht="12.75">
      <c r="A24" s="47" t="s">
        <v>158</v>
      </c>
      <c r="B24">
        <v>30</v>
      </c>
      <c r="C24" s="48">
        <f>B24*0.5</f>
        <v>15</v>
      </c>
      <c r="E24">
        <v>21</v>
      </c>
      <c r="F24" s="48">
        <f>E24*0.5</f>
        <v>10.5</v>
      </c>
      <c r="H24">
        <v>21</v>
      </c>
      <c r="I24" s="48">
        <f>H24*0.5</f>
        <v>10.5</v>
      </c>
    </row>
    <row r="25" spans="1:9" ht="12.75">
      <c r="A25" s="51" t="s">
        <v>142</v>
      </c>
      <c r="B25">
        <v>46</v>
      </c>
      <c r="C25" s="48">
        <f>B25-10</f>
        <v>36</v>
      </c>
      <c r="E25">
        <v>30</v>
      </c>
      <c r="F25" s="48">
        <f>E25-10</f>
        <v>20</v>
      </c>
      <c r="H25">
        <v>30</v>
      </c>
      <c r="I25" s="48">
        <f>H25-10</f>
        <v>20</v>
      </c>
    </row>
    <row r="26" spans="1:9" ht="12.75">
      <c r="A26" s="47" t="s">
        <v>143</v>
      </c>
      <c r="B26">
        <v>36</v>
      </c>
      <c r="C26" s="48">
        <f>B26*0.5</f>
        <v>18</v>
      </c>
      <c r="E26">
        <v>27</v>
      </c>
      <c r="F26" s="48">
        <f>E26*0.5</f>
        <v>13.5</v>
      </c>
      <c r="H26">
        <v>27</v>
      </c>
      <c r="I26" s="48">
        <f>H26*0.5</f>
        <v>13.5</v>
      </c>
    </row>
    <row r="27" spans="1:9" ht="12.75">
      <c r="A27" s="51" t="s">
        <v>136</v>
      </c>
      <c r="B27">
        <v>54</v>
      </c>
      <c r="C27" s="48">
        <f>B27-10</f>
        <v>44</v>
      </c>
      <c r="E27">
        <v>54</v>
      </c>
      <c r="F27" s="48">
        <f>E27-10</f>
        <v>44</v>
      </c>
      <c r="H27">
        <v>43</v>
      </c>
      <c r="I27" s="48">
        <f>H27-10</f>
        <v>33</v>
      </c>
    </row>
    <row r="28" spans="1:9" ht="12.75">
      <c r="A28" s="47" t="s">
        <v>137</v>
      </c>
      <c r="B28">
        <v>40</v>
      </c>
      <c r="C28" s="48">
        <f>B28*0.5</f>
        <v>20</v>
      </c>
      <c r="E28">
        <v>40</v>
      </c>
      <c r="F28" s="48">
        <f>E28*0.5</f>
        <v>20</v>
      </c>
      <c r="H28">
        <v>33</v>
      </c>
      <c r="I28" s="48">
        <f>H28*0.5</f>
        <v>16.5</v>
      </c>
    </row>
    <row r="29" ht="12.75">
      <c r="A29" s="47"/>
    </row>
    <row r="30" ht="12.75">
      <c r="A30" t="s">
        <v>160</v>
      </c>
    </row>
    <row r="31" ht="12.75">
      <c r="A31" t="s">
        <v>124</v>
      </c>
    </row>
    <row r="32" ht="12.75">
      <c r="A32" t="s">
        <v>122</v>
      </c>
    </row>
    <row r="33" ht="12.75">
      <c r="A33" t="s">
        <v>172</v>
      </c>
    </row>
    <row r="34" ht="12.75">
      <c r="A34" t="s">
        <v>176</v>
      </c>
    </row>
    <row r="35" ht="12.75"/>
    <row r="36" ht="12.75">
      <c r="A36" t="s">
        <v>99</v>
      </c>
    </row>
    <row r="37" spans="1:3" ht="12.75">
      <c r="A37" s="47" t="s">
        <v>130</v>
      </c>
      <c r="C37" s="48">
        <v>0</v>
      </c>
    </row>
    <row r="38" spans="1:3" ht="12.75">
      <c r="A38" s="47" t="s">
        <v>131</v>
      </c>
      <c r="C38" s="48">
        <v>0</v>
      </c>
    </row>
    <row r="39" spans="1:3" ht="12.75">
      <c r="A39" s="47" t="s">
        <v>132</v>
      </c>
      <c r="C39" s="48">
        <v>0</v>
      </c>
    </row>
    <row r="40" spans="1:5" ht="12.75">
      <c r="A40" s="47" t="s">
        <v>133</v>
      </c>
      <c r="B40" s="47" t="s">
        <v>134</v>
      </c>
      <c r="C40" s="50" t="s">
        <v>134</v>
      </c>
      <c r="D40" s="47" t="s">
        <v>134</v>
      </c>
      <c r="E40" s="47" t="s">
        <v>134</v>
      </c>
    </row>
    <row r="41" spans="2:5" ht="12.75">
      <c r="B41" s="47"/>
      <c r="C41" s="50"/>
      <c r="D41" s="47"/>
      <c r="E41" s="47"/>
    </row>
    <row r="42" spans="1:5" ht="12.75">
      <c r="A42" s="47"/>
      <c r="B42" s="47"/>
      <c r="C42" s="50"/>
      <c r="D42" s="47"/>
      <c r="E42" s="47"/>
    </row>
    <row r="43" ht="12.75">
      <c r="A43" t="s">
        <v>123</v>
      </c>
    </row>
    <row r="44" ht="12.75">
      <c r="A44" t="s">
        <v>173</v>
      </c>
    </row>
    <row r="45" ht="12.75">
      <c r="A45" t="s">
        <v>125</v>
      </c>
    </row>
    <row r="46" ht="12.75">
      <c r="A46" t="s">
        <v>126</v>
      </c>
    </row>
  </sheetData>
  <hyperlinks>
    <hyperlink ref="A17" r:id="rId1" display="-Mont Saint Sauvieur weekend"/>
    <hyperlink ref="A6" r:id="rId2" display="-Bristol weekend"/>
    <hyperlink ref="A11" r:id="rId3" display="-Holiday Valley weekend"/>
    <hyperlink ref="A8" r:id="rId4" display="-Crested Butte 3 day ticket"/>
    <hyperlink ref="A9" r:id="rId5" display="-Crystal weekend"/>
    <hyperlink ref="A13" r:id="rId6" display="-Jay Peak weekend"/>
    <hyperlink ref="A15" r:id="rId7" display="-Jiminy Peak weekend"/>
    <hyperlink ref="A19" r:id="rId8" display="-Mount Sunapee weekend"/>
    <hyperlink ref="A21" r:id="rId9" display="-Okemo weekend"/>
    <hyperlink ref="A23" r:id="rId10" display="-Shawnee Peak weekend"/>
    <hyperlink ref="A25" r:id="rId11" display="-Wachusett weekend"/>
    <hyperlink ref="A27" r:id="rId12" display="-Wintergreen weekend"/>
  </hyperlinks>
  <printOptions/>
  <pageMargins left="0.75" right="0.75" top="1" bottom="1" header="0.5" footer="0.5"/>
  <pageSetup horizontalDpi="300" verticalDpi="300" orientation="portrait" r:id="rId15"/>
  <ignoredErrors>
    <ignoredError sqref="C10 C12 C14 C16 C18 C20 C22 C24 C26 F26 F24 F22 F20 F18 F16 F14 F12 F10 I10 I12 I14 I16 I18 I20 I22 I24 I26" formula="1"/>
  </ignoredErrors>
  <legacyDrawing r:id="rId1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B30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74.140625" style="0" customWidth="1"/>
  </cols>
  <sheetData>
    <row r="2" ht="12.75">
      <c r="A2" t="s">
        <v>180</v>
      </c>
    </row>
    <row r="6" ht="12.75">
      <c r="A6" s="25" t="s">
        <v>63</v>
      </c>
    </row>
    <row r="7" spans="1:2" ht="12.75">
      <c r="A7" s="27" t="s">
        <v>102</v>
      </c>
      <c r="B7" s="27" t="s">
        <v>57</v>
      </c>
    </row>
    <row r="8" spans="1:2" ht="12.75">
      <c r="A8" t="s">
        <v>177</v>
      </c>
      <c r="B8" t="s">
        <v>58</v>
      </c>
    </row>
    <row r="9" spans="1:2" ht="12.75">
      <c r="A9" s="23" t="s">
        <v>178</v>
      </c>
      <c r="B9" t="s">
        <v>59</v>
      </c>
    </row>
    <row r="10" spans="1:2" ht="12.75">
      <c r="A10" s="23" t="s">
        <v>72</v>
      </c>
      <c r="B10" t="s">
        <v>60</v>
      </c>
    </row>
    <row r="11" spans="1:2" ht="12.75">
      <c r="A11" t="s">
        <v>71</v>
      </c>
      <c r="B11" t="s">
        <v>61</v>
      </c>
    </row>
    <row r="13" spans="1:2" ht="12.75">
      <c r="A13" s="25" t="s">
        <v>69</v>
      </c>
      <c r="B13" t="s">
        <v>185</v>
      </c>
    </row>
    <row r="14" spans="1:2" ht="12.75">
      <c r="A14" s="25" t="s">
        <v>182</v>
      </c>
      <c r="B14" t="s">
        <v>186</v>
      </c>
    </row>
    <row r="16" ht="12.75">
      <c r="A16" s="26" t="s">
        <v>62</v>
      </c>
    </row>
    <row r="17" spans="1:2" ht="12.75">
      <c r="A17" s="27" t="s">
        <v>102</v>
      </c>
      <c r="B17" s="27" t="s">
        <v>57</v>
      </c>
    </row>
    <row r="18" spans="1:2" ht="12.75">
      <c r="A18" t="s">
        <v>179</v>
      </c>
      <c r="B18" t="s">
        <v>58</v>
      </c>
    </row>
    <row r="19" spans="1:2" ht="12.75">
      <c r="A19" s="23" t="s">
        <v>181</v>
      </c>
      <c r="B19" t="s">
        <v>59</v>
      </c>
    </row>
    <row r="20" spans="1:2" ht="12.75">
      <c r="A20" s="23" t="s">
        <v>184</v>
      </c>
      <c r="B20" t="s">
        <v>60</v>
      </c>
    </row>
    <row r="21" spans="1:2" ht="12.75">
      <c r="A21" t="s">
        <v>183</v>
      </c>
      <c r="B21" t="s">
        <v>64</v>
      </c>
    </row>
    <row r="24" ht="12.75">
      <c r="A24" s="25" t="s">
        <v>68</v>
      </c>
    </row>
    <row r="25" spans="1:2" ht="12.75">
      <c r="A25" s="27" t="s">
        <v>102</v>
      </c>
      <c r="B25" s="27" t="s">
        <v>57</v>
      </c>
    </row>
    <row r="26" spans="1:2" ht="12.75">
      <c r="A26" t="s">
        <v>187</v>
      </c>
      <c r="B26" t="s">
        <v>188</v>
      </c>
    </row>
    <row r="28" spans="1:2" ht="12.75">
      <c r="A28" s="27" t="s">
        <v>103</v>
      </c>
      <c r="B28" s="27" t="s">
        <v>57</v>
      </c>
    </row>
    <row r="29" spans="1:2" ht="12.75">
      <c r="A29" t="s">
        <v>189</v>
      </c>
      <c r="B29" t="s">
        <v>58</v>
      </c>
    </row>
    <row r="30" spans="1:2" ht="12.75">
      <c r="A30" t="s">
        <v>190</v>
      </c>
      <c r="B30" t="s">
        <v>104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I27"/>
  <sheetViews>
    <sheetView workbookViewId="0" topLeftCell="A1">
      <selection activeCell="H27" sqref="H27"/>
    </sheetView>
  </sheetViews>
  <sheetFormatPr defaultColWidth="9.140625" defaultRowHeight="12.75"/>
  <cols>
    <col min="1" max="1" width="18.8515625" style="0" customWidth="1"/>
  </cols>
  <sheetData>
    <row r="2" spans="1:8" ht="12.75">
      <c r="A2" t="s">
        <v>10</v>
      </c>
      <c r="E2" t="s">
        <v>119</v>
      </c>
      <c r="H2" t="s">
        <v>14</v>
      </c>
    </row>
    <row r="3" spans="2:9" ht="12.75">
      <c r="B3" t="s">
        <v>117</v>
      </c>
      <c r="C3" t="s">
        <v>118</v>
      </c>
      <c r="E3" t="s">
        <v>117</v>
      </c>
      <c r="F3" t="s">
        <v>118</v>
      </c>
      <c r="H3" t="s">
        <v>117</v>
      </c>
      <c r="I3" t="s">
        <v>118</v>
      </c>
    </row>
    <row r="4" spans="1:9" ht="12.75">
      <c r="A4" t="s">
        <v>106</v>
      </c>
      <c r="B4">
        <v>32</v>
      </c>
      <c r="C4">
        <v>32</v>
      </c>
      <c r="E4">
        <v>32</v>
      </c>
      <c r="F4">
        <v>32</v>
      </c>
      <c r="H4">
        <v>32</v>
      </c>
      <c r="I4">
        <v>32</v>
      </c>
    </row>
    <row r="5" spans="1:9" ht="12.75">
      <c r="A5" t="s">
        <v>107</v>
      </c>
      <c r="B5">
        <v>38</v>
      </c>
      <c r="C5">
        <v>47</v>
      </c>
      <c r="E5">
        <v>36</v>
      </c>
      <c r="F5">
        <v>45</v>
      </c>
      <c r="H5">
        <v>36</v>
      </c>
      <c r="I5">
        <v>44</v>
      </c>
    </row>
    <row r="6" spans="1:9" ht="12.75">
      <c r="A6" t="s">
        <v>108</v>
      </c>
      <c r="B6">
        <v>43</v>
      </c>
      <c r="C6">
        <v>51</v>
      </c>
      <c r="E6">
        <v>41</v>
      </c>
      <c r="F6">
        <v>50</v>
      </c>
      <c r="H6">
        <v>41</v>
      </c>
      <c r="I6">
        <v>48</v>
      </c>
    </row>
    <row r="7" spans="1:9" ht="12.75">
      <c r="A7" t="s">
        <v>109</v>
      </c>
      <c r="B7">
        <v>49</v>
      </c>
      <c r="C7">
        <v>56</v>
      </c>
      <c r="E7">
        <v>49</v>
      </c>
      <c r="F7">
        <v>55</v>
      </c>
      <c r="H7">
        <v>49</v>
      </c>
      <c r="I7">
        <v>55</v>
      </c>
    </row>
    <row r="8" spans="1:9" ht="12.75">
      <c r="A8" t="s">
        <v>110</v>
      </c>
      <c r="B8">
        <v>27</v>
      </c>
      <c r="C8">
        <v>27</v>
      </c>
      <c r="E8">
        <v>27</v>
      </c>
      <c r="F8">
        <v>27</v>
      </c>
      <c r="H8">
        <v>27</v>
      </c>
      <c r="I8">
        <v>27</v>
      </c>
    </row>
    <row r="9" spans="1:9" ht="12.75">
      <c r="A9" t="s">
        <v>111</v>
      </c>
      <c r="B9">
        <v>33</v>
      </c>
      <c r="C9">
        <v>41</v>
      </c>
      <c r="E9">
        <v>31</v>
      </c>
      <c r="F9">
        <v>40</v>
      </c>
      <c r="H9">
        <v>31</v>
      </c>
      <c r="I9">
        <v>39</v>
      </c>
    </row>
    <row r="10" spans="1:9" ht="12.75">
      <c r="A10" t="s">
        <v>112</v>
      </c>
      <c r="B10">
        <v>37</v>
      </c>
      <c r="C10">
        <v>45</v>
      </c>
      <c r="E10">
        <v>36</v>
      </c>
      <c r="F10">
        <v>45</v>
      </c>
      <c r="H10">
        <v>36</v>
      </c>
      <c r="I10">
        <v>43</v>
      </c>
    </row>
    <row r="11" spans="1:9" ht="12.75">
      <c r="A11" t="s">
        <v>113</v>
      </c>
      <c r="B11">
        <v>42</v>
      </c>
      <c r="C11">
        <v>49</v>
      </c>
      <c r="E11">
        <v>42</v>
      </c>
      <c r="F11">
        <v>49</v>
      </c>
      <c r="H11">
        <v>42</v>
      </c>
      <c r="I11">
        <v>48</v>
      </c>
    </row>
    <row r="12" spans="1:2" ht="12.75">
      <c r="A12" t="s">
        <v>114</v>
      </c>
      <c r="B12">
        <v>8</v>
      </c>
    </row>
    <row r="14" ht="12.75">
      <c r="A14" t="s">
        <v>115</v>
      </c>
    </row>
    <row r="15" spans="1:8" ht="12.75">
      <c r="A15" t="s">
        <v>106</v>
      </c>
      <c r="B15">
        <v>31</v>
      </c>
      <c r="E15">
        <v>30</v>
      </c>
      <c r="H15">
        <v>30</v>
      </c>
    </row>
    <row r="16" spans="1:8" ht="12.75">
      <c r="A16" t="s">
        <v>107</v>
      </c>
      <c r="B16">
        <v>32</v>
      </c>
      <c r="E16">
        <v>30</v>
      </c>
      <c r="H16">
        <v>29</v>
      </c>
    </row>
    <row r="17" spans="1:8" ht="12.75">
      <c r="A17" t="s">
        <v>108</v>
      </c>
      <c r="B17">
        <v>35</v>
      </c>
      <c r="E17">
        <v>34</v>
      </c>
      <c r="H17">
        <v>33</v>
      </c>
    </row>
    <row r="18" spans="1:8" ht="12.75">
      <c r="A18" t="s">
        <v>109</v>
      </c>
      <c r="B18">
        <v>47</v>
      </c>
      <c r="E18">
        <v>40</v>
      </c>
      <c r="H18">
        <v>38</v>
      </c>
    </row>
    <row r="19" spans="1:8" ht="12.75">
      <c r="A19" t="s">
        <v>120</v>
      </c>
      <c r="H19">
        <v>20</v>
      </c>
    </row>
    <row r="21" ht="12.75">
      <c r="A21" t="s">
        <v>116</v>
      </c>
    </row>
    <row r="22" spans="1:8" ht="12.75">
      <c r="A22" t="s">
        <v>106</v>
      </c>
      <c r="B22">
        <v>35</v>
      </c>
      <c r="E22">
        <v>34</v>
      </c>
      <c r="H22">
        <v>34</v>
      </c>
    </row>
    <row r="23" spans="1:8" ht="12.75">
      <c r="A23" t="s">
        <v>107</v>
      </c>
      <c r="B23">
        <v>38</v>
      </c>
      <c r="E23">
        <v>34</v>
      </c>
      <c r="H23">
        <v>33</v>
      </c>
    </row>
    <row r="24" spans="1:8" ht="12.75">
      <c r="A24" t="s">
        <v>108</v>
      </c>
      <c r="B24">
        <v>41</v>
      </c>
      <c r="E24">
        <v>39</v>
      </c>
      <c r="H24">
        <v>38</v>
      </c>
    </row>
    <row r="25" spans="1:8" ht="12.75">
      <c r="A25" t="s">
        <v>109</v>
      </c>
      <c r="B25">
        <v>50</v>
      </c>
      <c r="E25">
        <v>45</v>
      </c>
      <c r="H25">
        <v>44</v>
      </c>
    </row>
    <row r="27" spans="1:8" ht="12.75">
      <c r="A27" t="s">
        <v>17</v>
      </c>
      <c r="B27">
        <v>30</v>
      </c>
      <c r="E27">
        <v>29</v>
      </c>
      <c r="H27">
        <v>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F11"/>
  <sheetViews>
    <sheetView workbookViewId="0" topLeftCell="A1">
      <selection activeCell="C12" sqref="C12"/>
    </sheetView>
  </sheetViews>
  <sheetFormatPr defaultColWidth="9.140625" defaultRowHeight="12.75"/>
  <cols>
    <col min="5" max="5" width="9.140625" style="31" customWidth="1"/>
  </cols>
  <sheetData>
    <row r="1" spans="1:5" s="37" customFormat="1" ht="12.75">
      <c r="A1" s="36" t="s">
        <v>83</v>
      </c>
      <c r="E1" s="38"/>
    </row>
    <row r="2" spans="3:6" ht="12.75">
      <c r="C2" t="s">
        <v>40</v>
      </c>
      <c r="D2" t="s">
        <v>41</v>
      </c>
      <c r="E2" s="31" t="s">
        <v>42</v>
      </c>
      <c r="F2" t="s">
        <v>66</v>
      </c>
    </row>
    <row r="3" spans="2:6" ht="12.75">
      <c r="B3" t="s">
        <v>27</v>
      </c>
      <c r="C3">
        <f>ROUNDDOWN((Calculator!C14+Calculator!C25+Calculator!C36+Calculator!C47+Calculator!C58+Calculator!C69+Calculator!C80+Calculator!C96+Calculator!C107+Calculator!C118+Calculator!C129+Calculator!C140+Calculator!C151+Calculator!C162+Calculator!C179+Calculator!C190+Calculator!C201+Calculator!C212+Calculator!C223+Calculator!C234+Calculator!C245)/5,0)</f>
        <v>0</v>
      </c>
      <c r="D3">
        <f>(Calculator!G14+Calculator!G25+Calculator!G36+Calculator!G47+Calculator!G69+Calculator!G80+Calculator!G96+Calculator!G107+Calculator!G118+Calculator!G129+Calculator!G140+Calculator!G151+Calculator!G162+Calculator!G179+Calculator!G190+Calculator!G201+Calculator!G212+Calculator!G223+Calculator!G234+Calculator!G245)</f>
        <v>0</v>
      </c>
      <c r="E3" s="31">
        <f>C3-D3</f>
        <v>0</v>
      </c>
      <c r="F3">
        <f>IF(E3&lt;0,"Error - too many free tickets used","")</f>
      </c>
    </row>
    <row r="4" spans="2:6" ht="12.75">
      <c r="B4" t="s">
        <v>28</v>
      </c>
      <c r="C4">
        <f>ROUNDDOWN((Calculator!C15+Calculator!C26+Calculator!C37+Calculator!C48+Calculator!C59+Calculator!C70+Calculator!C81+Calculator!C97+Calculator!C108+Calculator!C119+Calculator!C130+Calculator!C141+Calculator!C152+Calculator!C163+Calculator!C180+Calculator!C191+Calculator!C202+Calculator!C213+Calculator!C224+Calculator!C235+Calculator!C246)/5,0)</f>
        <v>0</v>
      </c>
      <c r="D4">
        <f>(Calculator!G15+Calculator!G26+Calculator!G37+Calculator!G48+Calculator!G70+Calculator!G81+Calculator!G97+Calculator!G108+Calculator!G119+Calculator!G130+Calculator!G141+Calculator!G152+Calculator!G163+Calculator!G180+Calculator!G191+Calculator!G202+Calculator!G213+Calculator!G224+Calculator!G235+Calculator!G246)</f>
        <v>0</v>
      </c>
      <c r="E4" s="31">
        <f aca="true" t="shared" si="0" ref="E4:E10">C4-D4</f>
        <v>0</v>
      </c>
      <c r="F4">
        <f aca="true" t="shared" si="1" ref="F4:F10">IF(E4&lt;0,"Error - too many free tickets used","")</f>
      </c>
    </row>
    <row r="5" spans="2:6" ht="12.75">
      <c r="B5" t="s">
        <v>43</v>
      </c>
      <c r="C5">
        <f>ROUNDDOWN((Calculator!C16+Calculator!C27+Calculator!C38+Calculator!C49+Calculator!C60+Calculator!C71+Calculator!C82+Calculator!C98+Calculator!C109+Calculator!C120+Calculator!C131+Calculator!C142+Calculator!C153+Calculator!C164+Calculator!C181+Calculator!C192+Calculator!C203+Calculator!C214+Calculator!C225+Calculator!C236+Calculator!C247)/5,0)</f>
        <v>0</v>
      </c>
      <c r="D5">
        <f>(Calculator!G16+Calculator!G27+Calculator!G38+Calculator!G49+Calculator!G71+Calculator!G82+Calculator!G98+Calculator!G109+Calculator!G120+Calculator!G131+Calculator!G142+Calculator!G153+Calculator!G164+Calculator!G181+Calculator!G192+Calculator!G203+Calculator!G214+Calculator!G225+Calculator!G236+Calculator!G247)</f>
        <v>0</v>
      </c>
      <c r="E5" s="31">
        <f t="shared" si="0"/>
        <v>0</v>
      </c>
      <c r="F5">
        <f t="shared" si="1"/>
      </c>
    </row>
    <row r="6" spans="2:6" ht="12.75">
      <c r="B6" t="s">
        <v>44</v>
      </c>
      <c r="C6">
        <f>ROUNDDOWN((Calculator!C17+Calculator!C28+Calculator!C39+Calculator!C50+Calculator!C61+Calculator!C72+Calculator!C83+Calculator!C99+Calculator!C110+Calculator!C121+Calculator!C132+Calculator!C143+Calculator!C154+Calculator!C165+Calculator!C182+Calculator!C193+Calculator!C204+Calculator!C215+Calculator!C226+Calculator!C237+Calculator!C248)/5,0)</f>
        <v>0</v>
      </c>
      <c r="D6">
        <f>(Calculator!G17+Calculator!G28+Calculator!G39+Calculator!G50+Calculator!G72+Calculator!G83+Calculator!G99+Calculator!G110+Calculator!G121+Calculator!G132+Calculator!G143+Calculator!G154+Calculator!G165+Calculator!G182+Calculator!G193+Calculator!G204+Calculator!G215+Calculator!G226+Calculator!G237+Calculator!G248)</f>
        <v>0</v>
      </c>
      <c r="E6" s="31">
        <f t="shared" si="0"/>
        <v>0</v>
      </c>
      <c r="F6">
        <f t="shared" si="1"/>
      </c>
    </row>
    <row r="7" spans="2:6" ht="12.75">
      <c r="B7" t="s">
        <v>29</v>
      </c>
      <c r="C7">
        <f>ROUNDDOWN((Calculator!C18+Calculator!C29+Calculator!C40+Calculator!C51+Calculator!C62+Calculator!C73+Calculator!C84+Calculator!C100+Calculator!C111+Calculator!C122+Calculator!C133+Calculator!C144+Calculator!C155+Calculator!C166+Calculator!C183+Calculator!C194+Calculator!C205+Calculator!C216+Calculator!C227+Calculator!C238+Calculator!C249)/5,0)</f>
        <v>0</v>
      </c>
      <c r="D7">
        <f>(Calculator!G18+Calculator!G29+Calculator!G40+Calculator!G51+Calculator!G73+Calculator!G84+Calculator!G100+Calculator!G111+Calculator!G122+Calculator!G133+Calculator!G144+Calculator!G155+Calculator!G166+Calculator!G183+Calculator!G194+Calculator!G205+Calculator!G216+Calculator!G227+Calculator!G238+Calculator!G249)</f>
        <v>0</v>
      </c>
      <c r="E7" s="31">
        <f t="shared" si="0"/>
        <v>0</v>
      </c>
      <c r="F7">
        <f t="shared" si="1"/>
      </c>
    </row>
    <row r="8" spans="2:6" ht="12.75">
      <c r="B8" t="s">
        <v>30</v>
      </c>
      <c r="C8">
        <f>ROUNDDOWN((Calculator!C19+Calculator!C30+Calculator!C41+Calculator!C52+Calculator!C63+Calculator!C74+Calculator!C85+Calculator!C101+Calculator!C112+Calculator!C123+Calculator!C134+Calculator!C145+Calculator!C156+Calculator!C167+Calculator!C184+Calculator!C195+Calculator!C206+Calculator!C217+Calculator!C228+Calculator!C239+Calculator!C250)/5,0)</f>
        <v>0</v>
      </c>
      <c r="D8">
        <f>(Calculator!G19+Calculator!G30+Calculator!G41+Calculator!G52+Calculator!G74+Calculator!G85+Calculator!G101+Calculator!G112+Calculator!G123+Calculator!G134+Calculator!G145+Calculator!G156+Calculator!G167+Calculator!G184+Calculator!G195+Calculator!G206+Calculator!G217+Calculator!G228+Calculator!G239+Calculator!G250)</f>
        <v>0</v>
      </c>
      <c r="E8" s="31">
        <f t="shared" si="0"/>
        <v>0</v>
      </c>
      <c r="F8">
        <f t="shared" si="1"/>
      </c>
    </row>
    <row r="9" spans="2:6" ht="12.75">
      <c r="B9" t="s">
        <v>31</v>
      </c>
      <c r="C9">
        <f>ROUNDDOWN((Calculator!C20+Calculator!C31+Calculator!C42+Calculator!C53+Calculator!C64+Calculator!C75+Calculator!C86+Calculator!C102+Calculator!C113+Calculator!C124+Calculator!C135+Calculator!C146+Calculator!C157+Calculator!C168+Calculator!C185+Calculator!C196+Calculator!C207+Calculator!C218+Calculator!C229+Calculator!C240+Calculator!C251)/5,0)</f>
        <v>0</v>
      </c>
      <c r="D9">
        <f>(Calculator!G20+Calculator!G31+Calculator!G42+Calculator!G53+Calculator!G75+Calculator!G86+Calculator!G102+Calculator!G113+Calculator!G124+Calculator!G135+Calculator!G146+Calculator!G157+Calculator!G168+Calculator!G185+Calculator!G196+Calculator!G207+Calculator!G218+Calculator!G229+Calculator!G240+Calculator!G251)</f>
        <v>0</v>
      </c>
      <c r="E9" s="31">
        <f t="shared" si="0"/>
        <v>0</v>
      </c>
      <c r="F9">
        <f t="shared" si="1"/>
      </c>
    </row>
    <row r="10" spans="2:6" ht="12.75">
      <c r="B10" t="s">
        <v>53</v>
      </c>
      <c r="C10">
        <f>ROUNDDOWN((Calculator!C21+Calculator!C32+Calculator!C43+Calculator!C54+Calculator!C65+Calculator!C76+Calculator!C87+Calculator!C103+Calculator!C114+Calculator!C125+Calculator!C136+Calculator!C147+Calculator!C158+Calculator!C169+Calculator!C186+Calculator!C197+Calculator!C208+Calculator!C219+Calculator!C230+Calculator!C241+Calculator!C252)/5,0)</f>
        <v>0</v>
      </c>
      <c r="D10">
        <f>(Calculator!G21+Calculator!G32+Calculator!G43+Calculator!G54+Calculator!G76+Calculator!G87+Calculator!G103+Calculator!G114+Calculator!G125+Calculator!G136+Calculator!G147+Calculator!G158+Calculator!G169+Calculator!G186+Calculator!G197+Calculator!G208+Calculator!G219+Calculator!G230+Calculator!G241+Calculator!G252)</f>
        <v>0</v>
      </c>
      <c r="E10" s="31">
        <f t="shared" si="0"/>
        <v>0</v>
      </c>
      <c r="F10">
        <f t="shared" si="1"/>
      </c>
    </row>
    <row r="11" spans="3:6" ht="12.75">
      <c r="C11">
        <f>SUM(C3:C10)</f>
        <v>0</v>
      </c>
      <c r="E11" s="31">
        <f>SUM(E3:E10)</f>
        <v>0</v>
      </c>
      <c r="F11" t="s">
        <v>82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53"/>
  <sheetViews>
    <sheetView workbookViewId="0" topLeftCell="A37">
      <selection activeCell="A30" sqref="A30:IV30"/>
    </sheetView>
  </sheetViews>
  <sheetFormatPr defaultColWidth="9.140625" defaultRowHeight="12.75"/>
  <cols>
    <col min="1" max="1" width="133.421875" style="1" customWidth="1"/>
  </cols>
  <sheetData>
    <row r="1" ht="26.25" customHeight="1">
      <c r="A1" s="18" t="s">
        <v>81</v>
      </c>
    </row>
    <row r="2" s="52" customFormat="1" ht="26.25" customHeight="1">
      <c r="A2" s="53"/>
    </row>
    <row r="3" s="52" customFormat="1" ht="26.25" customHeight="1">
      <c r="A3" s="53"/>
    </row>
    <row r="4" s="52" customFormat="1" ht="26.25" customHeight="1">
      <c r="A4" s="53" t="s">
        <v>171</v>
      </c>
    </row>
    <row r="5" s="52" customFormat="1" ht="26.25" customHeight="1">
      <c r="A5" s="53" t="s">
        <v>192</v>
      </c>
    </row>
    <row r="7" ht="26.25" customHeight="1">
      <c r="A7" s="20" t="s">
        <v>166</v>
      </c>
    </row>
    <row r="8" ht="26.25" customHeight="1">
      <c r="A8" s="20" t="s">
        <v>169</v>
      </c>
    </row>
    <row r="9" ht="26.25" customHeight="1"/>
    <row r="10" ht="26.25" customHeight="1">
      <c r="A10" s="20"/>
    </row>
    <row r="11" ht="26.25" customHeight="1">
      <c r="A11" s="20"/>
    </row>
    <row r="12" ht="26.25" customHeight="1">
      <c r="A12" s="20" t="s">
        <v>161</v>
      </c>
    </row>
    <row r="13" ht="26.25" customHeight="1">
      <c r="A13" s="20" t="s">
        <v>162</v>
      </c>
    </row>
    <row r="14" ht="26.25" customHeight="1">
      <c r="A14" s="20" t="s">
        <v>101</v>
      </c>
    </row>
    <row r="15" ht="26.25" customHeight="1">
      <c r="A15" s="20" t="s">
        <v>94</v>
      </c>
    </row>
    <row r="16" ht="26.25" customHeight="1">
      <c r="A16" s="20" t="s">
        <v>87</v>
      </c>
    </row>
    <row r="17" ht="26.25" customHeight="1"/>
    <row r="18" ht="26.25" customHeight="1">
      <c r="A18" s="20" t="s">
        <v>85</v>
      </c>
    </row>
    <row r="19" ht="26.25" customHeight="1"/>
    <row r="20" ht="26.25" customHeight="1">
      <c r="A20" s="20" t="s">
        <v>165</v>
      </c>
    </row>
    <row r="21" ht="26.25" customHeight="1">
      <c r="A21" s="1" t="s">
        <v>34</v>
      </c>
    </row>
    <row r="22" ht="26.25" customHeight="1">
      <c r="A22" s="20" t="s">
        <v>105</v>
      </c>
    </row>
    <row r="23" ht="26.25" customHeight="1">
      <c r="A23" s="1" t="s">
        <v>89</v>
      </c>
    </row>
    <row r="24" ht="26.25" customHeight="1">
      <c r="A24" s="1" t="s">
        <v>50</v>
      </c>
    </row>
    <row r="25" ht="26.25" customHeight="1">
      <c r="A25" s="20" t="s">
        <v>84</v>
      </c>
    </row>
    <row r="26" ht="26.25" customHeight="1"/>
    <row r="27" ht="26.25" customHeight="1">
      <c r="A27" s="1" t="s">
        <v>91</v>
      </c>
    </row>
    <row r="28" ht="26.25" customHeight="1">
      <c r="A28" s="20"/>
    </row>
    <row r="29" ht="26.25" customHeight="1">
      <c r="A29" s="40" t="s">
        <v>86</v>
      </c>
    </row>
    <row r="30" ht="26.25" customHeight="1">
      <c r="A30" s="20" t="s">
        <v>170</v>
      </c>
    </row>
    <row r="31" ht="24" customHeight="1">
      <c r="A31" s="1" t="s">
        <v>76</v>
      </c>
    </row>
    <row r="32" ht="17.25" customHeight="1">
      <c r="A32" s="1" t="s">
        <v>75</v>
      </c>
    </row>
    <row r="33" ht="18" customHeight="1">
      <c r="A33" s="20" t="s">
        <v>52</v>
      </c>
    </row>
    <row r="34" ht="12.75">
      <c r="A34" s="1" t="s">
        <v>88</v>
      </c>
    </row>
    <row r="35" ht="12.75">
      <c r="A35" s="1" t="s">
        <v>33</v>
      </c>
    </row>
    <row r="36" ht="15.75" customHeight="1">
      <c r="A36" s="1" t="s">
        <v>74</v>
      </c>
    </row>
    <row r="37" ht="15.75" customHeight="1"/>
    <row r="38" ht="12.75">
      <c r="A38" s="1" t="s">
        <v>37</v>
      </c>
    </row>
    <row r="40" ht="12.75">
      <c r="A40" s="1" t="s">
        <v>35</v>
      </c>
    </row>
    <row r="41" ht="12.75">
      <c r="A41" s="1" t="s">
        <v>36</v>
      </c>
    </row>
    <row r="43" ht="26.25" customHeight="1">
      <c r="A43" s="1" t="s">
        <v>45</v>
      </c>
    </row>
    <row r="45" ht="12.75">
      <c r="A45" s="1" t="s">
        <v>38</v>
      </c>
    </row>
    <row r="46" ht="12.75">
      <c r="A46" s="1" t="s">
        <v>47</v>
      </c>
    </row>
    <row r="48" ht="12.75">
      <c r="A48" s="1" t="s">
        <v>39</v>
      </c>
    </row>
    <row r="53" ht="25.5">
      <c r="A53" s="1" t="s">
        <v>46</v>
      </c>
    </row>
  </sheetData>
  <printOptions/>
  <pageMargins left="0.75" right="0.75" top="1" bottom="1" header="0.5" footer="0.5"/>
  <pageSetup horizontalDpi="720" verticalDpi="7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Snow Time,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Advantage Card Savings Calculator</dc:title>
  <dc:subject/>
  <dc:creator>Rusty Carr</dc:creator>
  <cp:keywords/>
  <dc:description/>
  <cp:lastModifiedBy>Rusty Carr</cp:lastModifiedBy>
  <cp:lastPrinted>2000-10-18T22:19:32Z</cp:lastPrinted>
  <dcterms:created xsi:type="dcterms:W3CDTF">2000-09-01T04:08:59Z</dcterms:created>
  <dcterms:modified xsi:type="dcterms:W3CDTF">2006-06-29T20:32:15Z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330068387</vt:i4>
  </property>
  <property fmtid="{D5CDD505-2E9C-101B-9397-08002B2CF9AE}" pid="3" name="_EmailSubject">
    <vt:lpwstr>advantage</vt:lpwstr>
  </property>
  <property fmtid="{D5CDD505-2E9C-101B-9397-08002B2CF9AE}" pid="4" name="_AuthorEmail">
    <vt:lpwstr>russ.carr@mci.com</vt:lpwstr>
  </property>
  <property fmtid="{D5CDD505-2E9C-101B-9397-08002B2CF9AE}" pid="5" name="_AuthorEmailDisplayName">
    <vt:lpwstr>Russ Carr</vt:lpwstr>
  </property>
  <property fmtid="{D5CDD505-2E9C-101B-9397-08002B2CF9AE}" pid="6" name="_ReviewingToolsShownOnce">
    <vt:lpwstr/>
  </property>
</Properties>
</file>